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dit files\2026\March\20260326 GHES\"/>
    </mc:Choice>
  </mc:AlternateContent>
  <xr:revisionPtr revIDLastSave="0" documentId="13_ncr:1_{80CDB559-A9AE-4422-9076-D08683AFE6A8}" xr6:coauthVersionLast="47" xr6:coauthVersionMax="47" xr10:uidLastSave="{00000000-0000-0000-0000-000000000000}"/>
  <bookViews>
    <workbookView xWindow="-28920" yWindow="6060" windowWidth="29040" windowHeight="15720" tabRatio="825" xr2:uid="{00000000-000D-0000-FFFF-FFFF00000000}"/>
  </bookViews>
  <sheets>
    <sheet name="README" sheetId="13" r:id="rId1"/>
    <sheet name="Scenarios" sheetId="1" r:id="rId2"/>
    <sheet name="Monetary Benefits" sheetId="2" state="hidden" r:id="rId3"/>
    <sheet name="Assumptions Benefits" sheetId="7" r:id="rId4"/>
    <sheet name="Monetary Benefits calc" sheetId="6" r:id="rId5"/>
    <sheet name="Calc. without intangible Ben." sheetId="11" r:id="rId6"/>
    <sheet name="Per Capita benefits" sheetId="10" r:id="rId7"/>
    <sheet name="Per Capita ben. wo intangible" sheetId="12" r:id="rId8"/>
    <sheet name="Costs" sheetId="9" r:id="rId9"/>
    <sheet name="Graphs" sheetId="3" r:id="rId10"/>
    <sheet name="Selected infectious diseases" sheetId="8" r:id="rId11"/>
  </sheets>
  <definedNames>
    <definedName name="annual_operating_hours">Costs!$C$9</definedName>
    <definedName name="cost_hosp_ch" localSheetId="5">'Calc. without intangible Ben.'!#REF!</definedName>
    <definedName name="cost_hosp_ch">'Monetary Benefits calc'!#REF!</definedName>
    <definedName name="cost_hosp_de" localSheetId="5">'Calc. without intangible Ben.'!#REF!</definedName>
    <definedName name="cost_hosp_de">'Monetary Benefits calc'!#REF!</definedName>
    <definedName name="cost_hosp_GER_covid">'Assumptions Benefits'!$B$12</definedName>
    <definedName name="cost_lc_ch" localSheetId="5">'Calc. without intangible Ben.'!#REF!</definedName>
    <definedName name="cost_lc_ch">'Monetary Benefits calc'!#REF!</definedName>
    <definedName name="cost_lc_de" localSheetId="5">'Calc. without intangible Ben.'!#REF!</definedName>
    <definedName name="cost_lc_de">'Monetary Benefits calc'!#REF!</definedName>
    <definedName name="Cost_of_disability_case_for_healthcare_CH">'Assumptions Benefits'!$B$15</definedName>
    <definedName name="Cost_of_disability_case_for_healthcare_GER">'Assumptions Benefits'!$B$14</definedName>
    <definedName name="Cost_of_hospitalisation_CH">'Assumptions Benefits'!$B$13</definedName>
    <definedName name="Cost_of_hospitalisation_CH_normalwinter">'Assumptions Benefits'!$B$42</definedName>
    <definedName name="Cost_of_hospitalisation_GER">'Assumptions Benefits'!$B$12</definedName>
    <definedName name="Cost_of_hospitalisation_GER_normalwinter">'Assumptions Benefits'!$B$41</definedName>
    <definedName name="costs_3h6d">Costs!$E$14</definedName>
    <definedName name="costs_4h6d">Costs!$E$13</definedName>
    <definedName name="costs_8h5d">Costs!$E$11</definedName>
    <definedName name="costs_8h7d">Costs!$E$12</definedName>
    <definedName name="disability_induced_severe">'Assumptions Benefits'!$B$60</definedName>
    <definedName name="exchange_CHF_USD">Costs!$D$17</definedName>
    <definedName name="exchange_EUR_USD">Costs!$D$18</definedName>
    <definedName name="Hosp_18_59y">'Assumptions Benefits'!$B$37</definedName>
    <definedName name="hosp_normal_winter_overall">'Assumptions Benefits'!$B$36</definedName>
    <definedName name="hospitalisation_ch" localSheetId="5">'Calc. without intangible Ben.'!$Q$6</definedName>
    <definedName name="hospitalisation_ch">'Monetary Benefits calc'!$Q$6</definedName>
    <definedName name="hospitalisation_de" localSheetId="5">'Calc. without intangible Ben.'!$K$25</definedName>
    <definedName name="hospitalisation_de">'Monetary Benefits calc'!$K$25</definedName>
    <definedName name="Hospitalisation_rate_18_59y_covid">'Assumptions Benefits'!$B$8</definedName>
    <definedName name="Hospitalisation_rate_18_59y_severe">'Assumptions Benefits'!$B$62</definedName>
    <definedName name="Hospitalisation_rate_overall_covid">'Assumptions Benefits'!$B$7</definedName>
    <definedName name="Hospitalisation_rate_overall_severe">'Assumptions Benefits'!$B$61</definedName>
    <definedName name="lamps_doctorsoffice">Scenarios!$K$29</definedName>
    <definedName name="lamps_fastfood">Scenarios!$K$11</definedName>
    <definedName name="lamps_irishpub">Scenarios!$K$3</definedName>
    <definedName name="lamps_office08">Scenarios!$K$49</definedName>
    <definedName name="lamps_office16">Scenarios!$K$52</definedName>
    <definedName name="lamps_office17">Scenarios!$K$47</definedName>
    <definedName name="lamps_queue">Scenarios!$K$21</definedName>
    <definedName name="lamps_restaurant">Scenarios!$K$23</definedName>
    <definedName name="lamps_spitalthun">Scenarios!$K$41</definedName>
    <definedName name="Long_Covid">'Assumptions Benefits'!$B$6</definedName>
    <definedName name="Loss_of_productivity_per_sick_day_CH">'Assumptions Benefits'!$B$21</definedName>
    <definedName name="Loss_of_productivity_per_sick_day_GER">'Assumptions Benefits'!$B$20</definedName>
    <definedName name="loss_per_sick_day_CH">'Assumptions Benefits'!$B$21</definedName>
    <definedName name="loss_sick_day_GER">'Assumptions Benefits'!$B$20</definedName>
    <definedName name="Losses_from_disab_severe">'Assumptions Benefits'!$B$78</definedName>
    <definedName name="Losses_of_QALYs_Covid_case">'Assumptions Benefits'!$B$25</definedName>
    <definedName name="Losses_of_QALYs_Covid_hospitalisation">'Assumptions Benefits'!$B$27</definedName>
    <definedName name="Losses_of_QALYs_hosp_normalwinter">'Assumptions Benefits'!$B$53</definedName>
    <definedName name="Losses_of_QALYs_hosp_severe">'Assumptions Benefits'!$B$79</definedName>
    <definedName name="Losses_of_QALYs_infection_severe">'Assumptions Benefits'!$B$77</definedName>
    <definedName name="Losses_of_QALYs_long_Covid">'Assumptions Benefits'!$B$26</definedName>
    <definedName name="Losses_of_QALYs_normalwinter">'Assumptions Benefits'!$B$51</definedName>
    <definedName name="Mortality_18_59y_severe">'Assumptions Benefits'!$B$64</definedName>
    <definedName name="Mortality_18_59y_winter">'Assumptions Benefits'!$B$39</definedName>
    <definedName name="Mortality_Covid_overall">'Assumptions Benefits'!$B$9</definedName>
    <definedName name="Mortality_overall_per_infection">'Assumptions Benefits'!$B$38</definedName>
    <definedName name="Mortality_overall_per_infection_winter">'Assumptions Benefits'!$B$38</definedName>
    <definedName name="Mortality_overall_severe">'Assumptions Benefits'!$B$63</definedName>
    <definedName name="population_CH" localSheetId="7">'Per Capita ben. wo intangible'!$C$18</definedName>
    <definedName name="population_CH">'Per Capita benefits'!$C$18</definedName>
    <definedName name="prob_lc" localSheetId="5">'Calc. without intangible Ben.'!$J$22</definedName>
    <definedName name="prob_lc">'Monetary Benefits calc'!$J$22</definedName>
    <definedName name="QALY_CHF">'Assumptions Benefits'!$B$30</definedName>
    <definedName name="QALY_eur">'Assumptions Benefits'!$B$29</definedName>
    <definedName name="QALYs_lost_per_death_due_to_resp_infection">'Assumptions Benefits'!$B$48</definedName>
    <definedName name="QALYs_lost_per_death_normalwinter">'Assumptions Benefits'!$B$48</definedName>
    <definedName name="QALYs_lost_per_death_severe">'Assumptions Benefits'!$B$76</definedName>
    <definedName name="QUALYs_lost_per_death_covid">'Assumptions Benefits'!$B$22</definedName>
    <definedName name="Sick_days_per_case_of_disability">'Assumptions Benefits'!$B$73</definedName>
    <definedName name="Sick_days_per_Covid_hospitalisation">'Assumptions Benefits'!$B$18</definedName>
    <definedName name="Sick_days_per_Covid_infection">'Assumptions Benefits'!$B$17</definedName>
    <definedName name="Sick_days_per_hospitalisation_normalwinter">'Assumptions Benefits'!$B$46</definedName>
    <definedName name="Sick_days_per_infection___hospitalisation_severe">'Assumptions Benefits'!$B$72</definedName>
    <definedName name="Sick_days_per_infection_normalwinter">'Assumptions Benefits'!$B$45</definedName>
    <definedName name="Sick_days_per_infection_severe">'Assumptions Benefits'!$B$71</definedName>
    <definedName name="Sick_days_per_Long_Covid_case">'Assumptions Benefits'!$B$19</definedName>
    <definedName name="symptomatic_case" localSheetId="5">'Calc. without intangible Ben.'!$J$21</definedName>
    <definedName name="symptomatic_case">'Monetary Benefits calc'!$J$21</definedName>
    <definedName name="symptomatic_Covid_case">'Assumptions Benefits'!$B$5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0" l="1"/>
  <c r="J27" i="6"/>
  <c r="O9" i="6"/>
  <c r="O11" i="6"/>
  <c r="O13" i="6"/>
  <c r="O15" i="6"/>
  <c r="F8" i="9"/>
  <c r="F3" i="9"/>
  <c r="C22" i="9"/>
  <c r="E22" i="9"/>
  <c r="C24" i="9" s="1"/>
  <c r="H40" i="9"/>
  <c r="H41" i="9"/>
  <c r="H42" i="9"/>
  <c r="H39" i="9"/>
  <c r="E39" i="9" l="1"/>
  <c r="I27" i="6" l="1"/>
  <c r="F27" i="6"/>
  <c r="D3" i="12"/>
  <c r="J6" i="12"/>
  <c r="P6" i="12"/>
  <c r="R6" i="12"/>
  <c r="D9" i="12"/>
  <c r="N10" i="12"/>
  <c r="P10" i="12"/>
  <c r="R10" i="12"/>
  <c r="C16" i="12"/>
  <c r="D16" i="12"/>
  <c r="E16" i="12"/>
  <c r="D23" i="11"/>
  <c r="E23" i="11"/>
  <c r="F23" i="11"/>
  <c r="H23" i="11" s="1"/>
  <c r="I23" i="11"/>
  <c r="J23" i="11" s="1"/>
  <c r="G24" i="11"/>
  <c r="H24" i="11"/>
  <c r="K24" i="11"/>
  <c r="M24" i="11" s="1"/>
  <c r="L24" i="11"/>
  <c r="D25" i="11"/>
  <c r="E25" i="11"/>
  <c r="F25" i="11"/>
  <c r="G25" i="11" s="1"/>
  <c r="I25" i="11"/>
  <c r="J25" i="11" s="1"/>
  <c r="D26" i="11"/>
  <c r="E26" i="11"/>
  <c r="F26" i="11"/>
  <c r="G26" i="11" s="1"/>
  <c r="M26" i="11" s="1"/>
  <c r="I26" i="11"/>
  <c r="K26" i="11"/>
  <c r="L26" i="11"/>
  <c r="D27" i="11"/>
  <c r="E27" i="11"/>
  <c r="F27" i="11"/>
  <c r="G27" i="11" s="1"/>
  <c r="I27" i="11"/>
  <c r="J27" i="11" s="1"/>
  <c r="E11" i="9"/>
  <c r="E8" i="9"/>
  <c r="J112" i="3"/>
  <c r="H26" i="11" l="1"/>
  <c r="N26" i="11" s="1"/>
  <c r="N24" i="11"/>
  <c r="K27" i="6"/>
  <c r="K25" i="11"/>
  <c r="L25" i="11"/>
  <c r="L23" i="11"/>
  <c r="K23" i="11"/>
  <c r="K27" i="11"/>
  <c r="L27" i="11"/>
  <c r="G23" i="11"/>
  <c r="H27" i="11"/>
  <c r="H25" i="11"/>
  <c r="J113" i="3"/>
  <c r="J114" i="3"/>
  <c r="K113" i="3"/>
  <c r="K114" i="3"/>
  <c r="K112" i="3"/>
  <c r="L113" i="3"/>
  <c r="L114" i="3"/>
  <c r="L112" i="3"/>
  <c r="D109" i="3"/>
  <c r="E109" i="3"/>
  <c r="D110" i="3"/>
  <c r="E110" i="3"/>
  <c r="D111" i="3"/>
  <c r="E111" i="3"/>
  <c r="D112" i="3"/>
  <c r="E112" i="3"/>
  <c r="C110" i="3"/>
  <c r="C111" i="3"/>
  <c r="C112" i="3"/>
  <c r="C109" i="3"/>
  <c r="D76" i="3"/>
  <c r="E76" i="3"/>
  <c r="D77" i="3"/>
  <c r="E77" i="3"/>
  <c r="D78" i="3"/>
  <c r="E78" i="3"/>
  <c r="C77" i="3"/>
  <c r="C78" i="3"/>
  <c r="C76" i="3"/>
  <c r="D9" i="10"/>
  <c r="P6" i="10"/>
  <c r="P10" i="10"/>
  <c r="R6" i="10"/>
  <c r="R10" i="10"/>
  <c r="N10" i="10"/>
  <c r="Q11" i="6" l="1"/>
  <c r="Q15" i="6"/>
  <c r="Q13" i="6"/>
  <c r="Q9" i="6"/>
  <c r="M23" i="11"/>
  <c r="N23" i="11"/>
  <c r="N25" i="11"/>
  <c r="N27" i="11"/>
  <c r="M27" i="11"/>
  <c r="M25" i="11"/>
  <c r="W2" i="1"/>
  <c r="J6" i="10"/>
  <c r="D3" i="10"/>
  <c r="E63" i="9" l="1"/>
  <c r="E62" i="9"/>
  <c r="E61" i="9"/>
  <c r="E60" i="9"/>
  <c r="E59" i="9"/>
  <c r="E58" i="9"/>
  <c r="E57" i="9"/>
  <c r="E56" i="9"/>
  <c r="E55" i="9"/>
  <c r="E54" i="9"/>
  <c r="E53" i="9"/>
  <c r="G39" i="9"/>
  <c r="C42" i="9"/>
  <c r="E42" i="9" s="1"/>
  <c r="C41" i="9"/>
  <c r="E41" i="9" s="1"/>
  <c r="C40" i="9"/>
  <c r="E40" i="9" s="1"/>
  <c r="C39" i="9"/>
  <c r="G42" i="9" l="1"/>
  <c r="G41" i="9"/>
  <c r="G40" i="9"/>
  <c r="C14" i="9"/>
  <c r="C13" i="9"/>
  <c r="C12" i="9"/>
  <c r="C11" i="9"/>
  <c r="AW3" i="1"/>
  <c r="AF4" i="1"/>
  <c r="I13" i="9" l="1"/>
  <c r="E13" i="9"/>
  <c r="I14" i="9"/>
  <c r="E14" i="9"/>
  <c r="I12" i="9"/>
  <c r="E12" i="9"/>
  <c r="I11" i="9"/>
  <c r="C9" i="9"/>
  <c r="G24" i="6"/>
  <c r="E23" i="6"/>
  <c r="I9" i="9" l="1"/>
  <c r="G8" i="9"/>
  <c r="D8" i="9"/>
  <c r="L26" i="6"/>
  <c r="F23" i="6"/>
  <c r="H23" i="6" s="1"/>
  <c r="G27" i="6"/>
  <c r="E27" i="6"/>
  <c r="L24" i="6"/>
  <c r="K24" i="6"/>
  <c r="M24" i="6" s="1"/>
  <c r="I23" i="6"/>
  <c r="J23" i="6" s="1"/>
  <c r="H24" i="6"/>
  <c r="N24" i="6" l="1"/>
  <c r="I58" i="9"/>
  <c r="F14" i="9"/>
  <c r="F13" i="9"/>
  <c r="F12" i="9"/>
  <c r="F11" i="9"/>
  <c r="I56" i="9"/>
  <c r="I53" i="9"/>
  <c r="I54" i="9"/>
  <c r="I61" i="9"/>
  <c r="I59" i="9"/>
  <c r="I57" i="9"/>
  <c r="D12" i="9"/>
  <c r="D13" i="9"/>
  <c r="D11" i="9"/>
  <c r="D14" i="9"/>
  <c r="G12" i="9"/>
  <c r="G13" i="9"/>
  <c r="G14" i="9"/>
  <c r="G11" i="9"/>
  <c r="H27" i="6"/>
  <c r="L27" i="6"/>
  <c r="K26" i="6"/>
  <c r="G23" i="6"/>
  <c r="I62" i="9" l="1"/>
  <c r="I63" i="9"/>
  <c r="I60" i="9"/>
  <c r="I55" i="9"/>
  <c r="N27" i="6"/>
  <c r="E25" i="6" l="1"/>
  <c r="I25" i="6"/>
  <c r="J25" i="6" s="1"/>
  <c r="F25" i="6"/>
  <c r="C49" i="7"/>
  <c r="B49" i="7"/>
  <c r="B74" i="7"/>
  <c r="B69" i="7"/>
  <c r="B68" i="7"/>
  <c r="B66" i="7"/>
  <c r="AF39" i="1"/>
  <c r="B13" i="7"/>
  <c r="D27" i="6" s="1"/>
  <c r="AJ48" i="1"/>
  <c r="H14" i="11" s="1"/>
  <c r="AJ49" i="1"/>
  <c r="AJ50" i="1"/>
  <c r="AJ51" i="1"/>
  <c r="AJ52" i="1"/>
  <c r="AJ47" i="1"/>
  <c r="AK30" i="1"/>
  <c r="AK32" i="1"/>
  <c r="AK34" i="1"/>
  <c r="AK36" i="1"/>
  <c r="AK38" i="1"/>
  <c r="AK40" i="1"/>
  <c r="AK42" i="1"/>
  <c r="AK44" i="1"/>
  <c r="AK46" i="1"/>
  <c r="AJ31" i="1"/>
  <c r="AJ33" i="1"/>
  <c r="AJ35" i="1"/>
  <c r="AJ37" i="1"/>
  <c r="H11" i="11" s="1"/>
  <c r="AJ39" i="1"/>
  <c r="AJ41" i="1"/>
  <c r="H13" i="6" s="1"/>
  <c r="AJ43" i="1"/>
  <c r="AJ45" i="1"/>
  <c r="AJ29" i="1"/>
  <c r="C10" i="7"/>
  <c r="AK5" i="1"/>
  <c r="AK7" i="1"/>
  <c r="AK9" i="1"/>
  <c r="AK11" i="1"/>
  <c r="AK13" i="1"/>
  <c r="AK15" i="1"/>
  <c r="AK17" i="1"/>
  <c r="AK19" i="1"/>
  <c r="AK21" i="1"/>
  <c r="AK23" i="1"/>
  <c r="AK25" i="1"/>
  <c r="AK27" i="1"/>
  <c r="AJ4" i="1"/>
  <c r="AJ6" i="1"/>
  <c r="AJ8" i="1"/>
  <c r="AJ10" i="1"/>
  <c r="AJ12" i="1"/>
  <c r="AJ14" i="1"/>
  <c r="AJ16" i="1"/>
  <c r="AJ18" i="1"/>
  <c r="AJ20" i="1"/>
  <c r="AJ22" i="1"/>
  <c r="AJ24" i="1"/>
  <c r="AJ26" i="1"/>
  <c r="AJ28" i="1"/>
  <c r="AK3" i="1"/>
  <c r="AI3" i="1"/>
  <c r="G6" i="6" s="1"/>
  <c r="AG3" i="1"/>
  <c r="E6" i="6" s="1"/>
  <c r="F51" i="6" s="1"/>
  <c r="B47" i="7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4" i="1"/>
  <c r="AR5" i="1"/>
  <c r="AR6" i="1"/>
  <c r="AR7" i="1"/>
  <c r="AR8" i="1"/>
  <c r="AI9" i="1"/>
  <c r="AI11" i="1"/>
  <c r="AI13" i="1"/>
  <c r="AI15" i="1"/>
  <c r="AI17" i="1"/>
  <c r="AI19" i="1"/>
  <c r="AI21" i="1"/>
  <c r="AI23" i="1"/>
  <c r="AI25" i="1"/>
  <c r="AI27" i="1"/>
  <c r="AI5" i="1"/>
  <c r="AI7" i="1"/>
  <c r="AH28" i="1"/>
  <c r="AH4" i="1"/>
  <c r="AH6" i="1"/>
  <c r="AH8" i="1"/>
  <c r="AH10" i="1"/>
  <c r="AH12" i="1"/>
  <c r="AH14" i="1"/>
  <c r="AH16" i="1"/>
  <c r="AH18" i="1"/>
  <c r="AH20" i="1"/>
  <c r="AH22" i="1"/>
  <c r="AH24" i="1"/>
  <c r="AH26" i="1"/>
  <c r="AG9" i="1"/>
  <c r="AG11" i="1"/>
  <c r="AG13" i="1"/>
  <c r="AG15" i="1"/>
  <c r="AG17" i="1"/>
  <c r="AG19" i="1"/>
  <c r="AG21" i="1"/>
  <c r="AG23" i="1"/>
  <c r="AG25" i="1"/>
  <c r="AG27" i="1"/>
  <c r="AG5" i="1"/>
  <c r="AG7" i="1"/>
  <c r="AF12" i="1"/>
  <c r="AF14" i="1"/>
  <c r="AF16" i="1"/>
  <c r="AF18" i="1"/>
  <c r="AF20" i="1"/>
  <c r="AF22" i="1"/>
  <c r="AF24" i="1"/>
  <c r="AF26" i="1"/>
  <c r="AF28" i="1"/>
  <c r="AF10" i="1"/>
  <c r="AF6" i="1"/>
  <c r="AG40" i="1"/>
  <c r="AI40" i="1"/>
  <c r="D37" i="1"/>
  <c r="B64" i="7"/>
  <c r="B42" i="7"/>
  <c r="D23" i="6" s="1"/>
  <c r="C20" i="7"/>
  <c r="AG30" i="1"/>
  <c r="AI30" i="1"/>
  <c r="U2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47" i="1"/>
  <c r="AT48" i="1"/>
  <c r="AT49" i="1"/>
  <c r="AT50" i="1"/>
  <c r="AT51" i="1"/>
  <c r="AT52" i="1"/>
  <c r="AW24" i="1"/>
  <c r="AX24" i="1"/>
  <c r="AY28" i="1"/>
  <c r="AR52" i="1"/>
  <c r="AH52" i="1"/>
  <c r="AF52" i="1"/>
  <c r="AU21" i="1" l="1"/>
  <c r="BA21" i="1"/>
  <c r="H16" i="6"/>
  <c r="H16" i="11"/>
  <c r="D16" i="6"/>
  <c r="D61" i="6" s="1"/>
  <c r="I13" i="10" s="1"/>
  <c r="J13" i="10" s="1"/>
  <c r="D16" i="11"/>
  <c r="AU22" i="1"/>
  <c r="BA22" i="1"/>
  <c r="F16" i="6"/>
  <c r="F16" i="11"/>
  <c r="AU29" i="1"/>
  <c r="BA29" i="1"/>
  <c r="H15" i="11"/>
  <c r="L44" i="11" s="1"/>
  <c r="AU11" i="1"/>
  <c r="BA11" i="1"/>
  <c r="G9" i="11"/>
  <c r="J54" i="11" s="1"/>
  <c r="H10" i="6"/>
  <c r="H10" i="11"/>
  <c r="D9" i="11"/>
  <c r="D70" i="11" s="1"/>
  <c r="D8" i="6"/>
  <c r="D8" i="11"/>
  <c r="E8" i="6"/>
  <c r="G37" i="6" s="1"/>
  <c r="E8" i="11"/>
  <c r="H8" i="6"/>
  <c r="M37" i="6" s="1"/>
  <c r="H8" i="11"/>
  <c r="D12" i="6"/>
  <c r="D12" i="11"/>
  <c r="AU51" i="1"/>
  <c r="BA51" i="1"/>
  <c r="AU23" i="1"/>
  <c r="BA23" i="1"/>
  <c r="H12" i="6"/>
  <c r="M41" i="6" s="1"/>
  <c r="H12" i="11"/>
  <c r="I8" i="6"/>
  <c r="I8" i="11"/>
  <c r="AU47" i="1"/>
  <c r="BA47" i="1"/>
  <c r="AU52" i="1"/>
  <c r="BA52" i="1"/>
  <c r="F8" i="6"/>
  <c r="F8" i="11"/>
  <c r="G8" i="6"/>
  <c r="G8" i="11"/>
  <c r="H6" i="11"/>
  <c r="H13" i="11"/>
  <c r="M58" i="11" s="1"/>
  <c r="AU49" i="1"/>
  <c r="BA49" i="1"/>
  <c r="AU50" i="1"/>
  <c r="BA50" i="1"/>
  <c r="L76" i="11"/>
  <c r="M76" i="11"/>
  <c r="M60" i="11"/>
  <c r="L43" i="11"/>
  <c r="L91" i="11" s="1"/>
  <c r="M43" i="11"/>
  <c r="L59" i="11"/>
  <c r="Q11" i="12" s="1"/>
  <c r="R11" i="12" s="1"/>
  <c r="M59" i="11"/>
  <c r="M91" i="11" s="1"/>
  <c r="M107" i="11" s="1"/>
  <c r="M123" i="11" s="1"/>
  <c r="M75" i="11"/>
  <c r="L75" i="11"/>
  <c r="AU48" i="1"/>
  <c r="BA48" i="1"/>
  <c r="M153" i="6"/>
  <c r="L153" i="6"/>
  <c r="I13" i="6"/>
  <c r="I13" i="11"/>
  <c r="I12" i="6"/>
  <c r="I12" i="11"/>
  <c r="E12" i="6"/>
  <c r="G41" i="6" s="1"/>
  <c r="E12" i="11"/>
  <c r="G12" i="6"/>
  <c r="G12" i="11"/>
  <c r="I11" i="6"/>
  <c r="I11" i="11"/>
  <c r="H11" i="6"/>
  <c r="M72" i="6" s="1"/>
  <c r="M40" i="11"/>
  <c r="L40" i="11"/>
  <c r="L56" i="11"/>
  <c r="L72" i="11"/>
  <c r="M56" i="11"/>
  <c r="M72" i="11"/>
  <c r="L150" i="6"/>
  <c r="M150" i="6"/>
  <c r="AU33" i="1"/>
  <c r="BA33" i="1"/>
  <c r="AU32" i="1"/>
  <c r="BA32" i="1"/>
  <c r="AU31" i="1"/>
  <c r="BA31" i="1"/>
  <c r="AU30" i="1"/>
  <c r="BA30" i="1"/>
  <c r="AU34" i="1"/>
  <c r="BA34" i="1"/>
  <c r="L39" i="11"/>
  <c r="M39" i="11"/>
  <c r="L55" i="11"/>
  <c r="M55" i="11"/>
  <c r="M71" i="11"/>
  <c r="L71" i="11"/>
  <c r="I10" i="6"/>
  <c r="O71" i="6" s="1"/>
  <c r="I10" i="11"/>
  <c r="E38" i="11"/>
  <c r="E54" i="11"/>
  <c r="D38" i="11"/>
  <c r="D54" i="11"/>
  <c r="I3" i="12" s="1"/>
  <c r="J3" i="12" s="1"/>
  <c r="E70" i="11"/>
  <c r="AU28" i="1"/>
  <c r="BA28" i="1"/>
  <c r="E9" i="11"/>
  <c r="I9" i="11"/>
  <c r="AU27" i="1"/>
  <c r="BA27" i="1"/>
  <c r="J70" i="11"/>
  <c r="H9" i="11"/>
  <c r="AU26" i="1"/>
  <c r="BA26" i="1"/>
  <c r="F9" i="11"/>
  <c r="G9" i="6"/>
  <c r="AU25" i="1"/>
  <c r="BA25" i="1"/>
  <c r="AU24" i="1"/>
  <c r="BA24" i="1"/>
  <c r="I7" i="6"/>
  <c r="AU14" i="1"/>
  <c r="BA14" i="1"/>
  <c r="AU13" i="1"/>
  <c r="BA13" i="1"/>
  <c r="AU12" i="1"/>
  <c r="BA12" i="1"/>
  <c r="H7" i="11"/>
  <c r="AU19" i="1"/>
  <c r="BA19" i="1"/>
  <c r="AU18" i="1"/>
  <c r="BA18" i="1"/>
  <c r="AU15" i="1"/>
  <c r="BA15" i="1"/>
  <c r="AU20" i="1"/>
  <c r="BA20" i="1"/>
  <c r="F7" i="11"/>
  <c r="AU17" i="1"/>
  <c r="BA17" i="1"/>
  <c r="D7" i="6"/>
  <c r="D36" i="6" s="1"/>
  <c r="D7" i="11"/>
  <c r="E7" i="11"/>
  <c r="G7" i="11"/>
  <c r="AU16" i="1"/>
  <c r="BA16" i="1"/>
  <c r="I7" i="11"/>
  <c r="F6" i="6"/>
  <c r="I35" i="6" s="1"/>
  <c r="F6" i="11"/>
  <c r="K146" i="6"/>
  <c r="J146" i="6"/>
  <c r="G6" i="11"/>
  <c r="I6" i="11"/>
  <c r="E6" i="11"/>
  <c r="L35" i="11"/>
  <c r="M35" i="11"/>
  <c r="L51" i="11"/>
  <c r="Q4" i="12" s="1"/>
  <c r="R4" i="12" s="1"/>
  <c r="M67" i="11"/>
  <c r="M51" i="11"/>
  <c r="L67" i="11"/>
  <c r="K25" i="6"/>
  <c r="D9" i="6"/>
  <c r="I6" i="6"/>
  <c r="O35" i="6" s="1"/>
  <c r="I9" i="6"/>
  <c r="O54" i="6" s="1"/>
  <c r="F7" i="6"/>
  <c r="G7" i="6"/>
  <c r="K36" i="6" s="1"/>
  <c r="E7" i="6"/>
  <c r="G36" i="6" s="1"/>
  <c r="H15" i="6"/>
  <c r="AA4" i="1"/>
  <c r="AA34" i="1"/>
  <c r="AA33" i="1"/>
  <c r="E9" i="6"/>
  <c r="F38" i="6" s="1"/>
  <c r="H9" i="6"/>
  <c r="H7" i="6"/>
  <c r="F9" i="6"/>
  <c r="I38" i="6" s="1"/>
  <c r="H6" i="6"/>
  <c r="H14" i="6"/>
  <c r="E45" i="6"/>
  <c r="E61" i="6"/>
  <c r="O52" i="6"/>
  <c r="O36" i="6"/>
  <c r="N52" i="6"/>
  <c r="Q5" i="10" s="1"/>
  <c r="R5" i="10" s="1"/>
  <c r="N68" i="6"/>
  <c r="O68" i="6"/>
  <c r="N56" i="6"/>
  <c r="O56" i="6"/>
  <c r="O40" i="6"/>
  <c r="O72" i="6"/>
  <c r="N72" i="6"/>
  <c r="L61" i="6"/>
  <c r="Q13" i="10" s="1"/>
  <c r="R13" i="10" s="1"/>
  <c r="M45" i="6"/>
  <c r="M61" i="6"/>
  <c r="M77" i="6"/>
  <c r="L77" i="6"/>
  <c r="G35" i="6"/>
  <c r="G51" i="6"/>
  <c r="O39" i="6"/>
  <c r="N55" i="6"/>
  <c r="O55" i="6"/>
  <c r="N71" i="6"/>
  <c r="N42" i="6"/>
  <c r="N40" i="6"/>
  <c r="N38" i="6"/>
  <c r="N37" i="6"/>
  <c r="N41" i="6"/>
  <c r="L39" i="6"/>
  <c r="N36" i="6"/>
  <c r="L45" i="6"/>
  <c r="L141" i="6" s="1"/>
  <c r="L42" i="6"/>
  <c r="M27" i="6"/>
  <c r="M39" i="6"/>
  <c r="L55" i="6"/>
  <c r="M55" i="6"/>
  <c r="M71" i="6"/>
  <c r="L71" i="6"/>
  <c r="E36" i="6"/>
  <c r="E52" i="6"/>
  <c r="D52" i="6"/>
  <c r="F52" i="6"/>
  <c r="I5" i="10" s="1"/>
  <c r="J5" i="10" s="1"/>
  <c r="O58" i="6"/>
  <c r="O42" i="6"/>
  <c r="N58" i="6"/>
  <c r="Q8" i="10" s="1"/>
  <c r="R8" i="10" s="1"/>
  <c r="N74" i="6"/>
  <c r="O74" i="6"/>
  <c r="N51" i="6"/>
  <c r="O51" i="6"/>
  <c r="N67" i="6"/>
  <c r="E37" i="6"/>
  <c r="E53" i="6"/>
  <c r="D53" i="6"/>
  <c r="E41" i="6"/>
  <c r="E57" i="6"/>
  <c r="D57" i="6"/>
  <c r="M58" i="6"/>
  <c r="M42" i="6"/>
  <c r="L58" i="6"/>
  <c r="M74" i="6"/>
  <c r="L74" i="6"/>
  <c r="L25" i="6"/>
  <c r="F37" i="6"/>
  <c r="F35" i="6"/>
  <c r="D37" i="6"/>
  <c r="D41" i="6"/>
  <c r="N53" i="6"/>
  <c r="O37" i="6"/>
  <c r="O53" i="6"/>
  <c r="N69" i="6"/>
  <c r="O69" i="6"/>
  <c r="O41" i="6"/>
  <c r="O57" i="6"/>
  <c r="N57" i="6"/>
  <c r="O73" i="6"/>
  <c r="N73" i="6"/>
  <c r="K41" i="6"/>
  <c r="K35" i="6"/>
  <c r="K37" i="6"/>
  <c r="D25" i="6"/>
  <c r="H25" i="6"/>
  <c r="I37" i="6"/>
  <c r="I45" i="6"/>
  <c r="G25" i="6"/>
  <c r="B67" i="7"/>
  <c r="AA11" i="1"/>
  <c r="AA3" i="1"/>
  <c r="M74" i="11" l="1"/>
  <c r="F37" i="11"/>
  <c r="G53" i="11"/>
  <c r="G37" i="11"/>
  <c r="F69" i="11"/>
  <c r="G69" i="11"/>
  <c r="F53" i="11"/>
  <c r="F85" i="11" s="1"/>
  <c r="F101" i="11" s="1"/>
  <c r="F117" i="11" s="1"/>
  <c r="L58" i="11"/>
  <c r="E45" i="11"/>
  <c r="D45" i="11"/>
  <c r="E61" i="11"/>
  <c r="D77" i="11"/>
  <c r="D61" i="11"/>
  <c r="I13" i="12" s="1"/>
  <c r="J13" i="12" s="1"/>
  <c r="E77" i="11"/>
  <c r="M57" i="6"/>
  <c r="L69" i="6"/>
  <c r="K38" i="11"/>
  <c r="M42" i="11"/>
  <c r="M90" i="11" s="1"/>
  <c r="M106" i="11" s="1"/>
  <c r="M122" i="11" s="1"/>
  <c r="L57" i="6"/>
  <c r="J38" i="11"/>
  <c r="L42" i="11"/>
  <c r="L90" i="11" s="1"/>
  <c r="L106" i="11" s="1"/>
  <c r="L122" i="11" s="1"/>
  <c r="M44" i="11"/>
  <c r="M92" i="11" s="1"/>
  <c r="M108" i="11" s="1"/>
  <c r="M124" i="11" s="1"/>
  <c r="M45" i="11"/>
  <c r="M93" i="11" s="1"/>
  <c r="M109" i="11" s="1"/>
  <c r="M125" i="11" s="1"/>
  <c r="L61" i="11"/>
  <c r="Q13" i="12" s="1"/>
  <c r="R13" i="12" s="1"/>
  <c r="L45" i="11"/>
  <c r="M61" i="11"/>
  <c r="L77" i="11"/>
  <c r="M77" i="11"/>
  <c r="L74" i="11"/>
  <c r="I148" i="6"/>
  <c r="H148" i="6"/>
  <c r="I69" i="6"/>
  <c r="H69" i="6"/>
  <c r="M148" i="6"/>
  <c r="L148" i="6"/>
  <c r="O133" i="6"/>
  <c r="L73" i="6"/>
  <c r="K54" i="11"/>
  <c r="E86" i="11"/>
  <c r="E102" i="11" s="1"/>
  <c r="E118" i="11" s="1"/>
  <c r="M152" i="6"/>
  <c r="M73" i="6"/>
  <c r="M69" i="6"/>
  <c r="K70" i="11"/>
  <c r="L152" i="6"/>
  <c r="L37" i="6"/>
  <c r="L60" i="11"/>
  <c r="Q12" i="12" s="1"/>
  <c r="R12" i="12" s="1"/>
  <c r="J53" i="11"/>
  <c r="K37" i="11"/>
  <c r="J37" i="11"/>
  <c r="K53" i="11"/>
  <c r="J69" i="11"/>
  <c r="K69" i="11"/>
  <c r="N53" i="11"/>
  <c r="N37" i="11"/>
  <c r="N85" i="11" s="1"/>
  <c r="N101" i="11" s="1"/>
  <c r="N117" i="11" s="1"/>
  <c r="O37" i="11"/>
  <c r="O53" i="11"/>
  <c r="O69" i="11"/>
  <c r="N69" i="11"/>
  <c r="E57" i="11"/>
  <c r="E41" i="11"/>
  <c r="E89" i="11" s="1"/>
  <c r="E105" i="11" s="1"/>
  <c r="E121" i="11" s="1"/>
  <c r="D41" i="11"/>
  <c r="D73" i="11"/>
  <c r="E73" i="11"/>
  <c r="D57" i="11"/>
  <c r="M156" i="6"/>
  <c r="L156" i="6"/>
  <c r="F53" i="6"/>
  <c r="N39" i="6"/>
  <c r="L41" i="6"/>
  <c r="L137" i="6" s="1"/>
  <c r="G53" i="6"/>
  <c r="L53" i="6"/>
  <c r="D45" i="6"/>
  <c r="O67" i="6"/>
  <c r="N132" i="6"/>
  <c r="N35" i="6"/>
  <c r="L72" i="6"/>
  <c r="M53" i="6"/>
  <c r="K148" i="6"/>
  <c r="J148" i="6"/>
  <c r="N148" i="6"/>
  <c r="O148" i="6"/>
  <c r="H77" i="11"/>
  <c r="H61" i="11"/>
  <c r="M13" i="12" s="1"/>
  <c r="N13" i="12" s="1"/>
  <c r="I45" i="11"/>
  <c r="H45" i="11"/>
  <c r="H93" i="11" s="1"/>
  <c r="I77" i="11"/>
  <c r="I61" i="11"/>
  <c r="I37" i="11"/>
  <c r="D37" i="11"/>
  <c r="D85" i="11" s="1"/>
  <c r="D101" i="11" s="1"/>
  <c r="D117" i="11" s="1"/>
  <c r="D146" i="11" s="1"/>
  <c r="E53" i="11"/>
  <c r="E37" i="11"/>
  <c r="D69" i="11"/>
  <c r="E69" i="11"/>
  <c r="D53" i="11"/>
  <c r="N70" i="6"/>
  <c r="L56" i="6"/>
  <c r="O136" i="6"/>
  <c r="M88" i="11"/>
  <c r="M104" i="11" s="1"/>
  <c r="M120" i="11" s="1"/>
  <c r="H69" i="11"/>
  <c r="H53" i="11"/>
  <c r="H37" i="11"/>
  <c r="I53" i="11"/>
  <c r="I85" i="11" s="1"/>
  <c r="I101" i="11" s="1"/>
  <c r="I117" i="11" s="1"/>
  <c r="I69" i="11"/>
  <c r="L41" i="11"/>
  <c r="M41" i="11"/>
  <c r="L57" i="11"/>
  <c r="L73" i="11"/>
  <c r="M73" i="11"/>
  <c r="M57" i="11"/>
  <c r="L37" i="11"/>
  <c r="L85" i="11" s="1"/>
  <c r="L101" i="11" s="1"/>
  <c r="L117" i="11" s="1"/>
  <c r="M37" i="11"/>
  <c r="L53" i="11"/>
  <c r="M69" i="11"/>
  <c r="M53" i="11"/>
  <c r="L69" i="11"/>
  <c r="I156" i="6"/>
  <c r="H156" i="6"/>
  <c r="H77" i="6"/>
  <c r="L92" i="11"/>
  <c r="L108" i="11" s="1"/>
  <c r="L124" i="11" s="1"/>
  <c r="L43" i="6"/>
  <c r="P14" i="6"/>
  <c r="M154" i="6"/>
  <c r="L154" i="6"/>
  <c r="L44" i="6"/>
  <c r="L155" i="6"/>
  <c r="M155" i="6"/>
  <c r="L107" i="11"/>
  <c r="L123" i="11" s="1"/>
  <c r="N42" i="11"/>
  <c r="N58" i="11"/>
  <c r="Q8" i="12" s="1"/>
  <c r="R8" i="12" s="1"/>
  <c r="O42" i="11"/>
  <c r="O74" i="11"/>
  <c r="N74" i="11"/>
  <c r="O58" i="11"/>
  <c r="O90" i="11" s="1"/>
  <c r="O106" i="11" s="1"/>
  <c r="O122" i="11" s="1"/>
  <c r="O153" i="6"/>
  <c r="N153" i="6"/>
  <c r="J41" i="11"/>
  <c r="K41" i="11"/>
  <c r="J57" i="11"/>
  <c r="K73" i="11"/>
  <c r="K57" i="11"/>
  <c r="J73" i="11"/>
  <c r="J152" i="6"/>
  <c r="K152" i="6"/>
  <c r="F57" i="6"/>
  <c r="F41" i="6"/>
  <c r="G57" i="11"/>
  <c r="G41" i="11"/>
  <c r="G89" i="11" s="1"/>
  <c r="G105" i="11" s="1"/>
  <c r="G121" i="11" s="1"/>
  <c r="F41" i="11"/>
  <c r="F57" i="11"/>
  <c r="G73" i="11"/>
  <c r="F73" i="11"/>
  <c r="N57" i="11"/>
  <c r="N41" i="11"/>
  <c r="O41" i="11"/>
  <c r="O73" i="11"/>
  <c r="N73" i="11"/>
  <c r="O57" i="11"/>
  <c r="O89" i="11" s="1"/>
  <c r="O105" i="11" s="1"/>
  <c r="O121" i="11" s="1"/>
  <c r="G57" i="6"/>
  <c r="N152" i="6"/>
  <c r="O152" i="6"/>
  <c r="L88" i="11"/>
  <c r="L104" i="11" s="1"/>
  <c r="L120" i="11" s="1"/>
  <c r="N136" i="6"/>
  <c r="L151" i="6"/>
  <c r="M151" i="6"/>
  <c r="L40" i="6"/>
  <c r="M56" i="6"/>
  <c r="O40" i="11"/>
  <c r="N40" i="11"/>
  <c r="N88" i="11" s="1"/>
  <c r="N56" i="11"/>
  <c r="O72" i="11"/>
  <c r="N72" i="11"/>
  <c r="O56" i="11"/>
  <c r="M40" i="6"/>
  <c r="M136" i="6" s="1"/>
  <c r="N151" i="6"/>
  <c r="O151" i="6"/>
  <c r="M87" i="11"/>
  <c r="M103" i="11" s="1"/>
  <c r="M119" i="11" s="1"/>
  <c r="N55" i="11"/>
  <c r="Q7" i="12" s="1"/>
  <c r="R7" i="12" s="1"/>
  <c r="O39" i="11"/>
  <c r="N39" i="11"/>
  <c r="N71" i="11"/>
  <c r="O71" i="11"/>
  <c r="O55" i="11"/>
  <c r="O87" i="11" s="1"/>
  <c r="O103" i="11" s="1"/>
  <c r="O119" i="11" s="1"/>
  <c r="L87" i="11"/>
  <c r="L103" i="11" s="1"/>
  <c r="L119" i="11" s="1"/>
  <c r="P10" i="6"/>
  <c r="O150" i="6"/>
  <c r="N150" i="6"/>
  <c r="O70" i="6"/>
  <c r="H70" i="11"/>
  <c r="H38" i="11"/>
  <c r="H86" i="11" s="1"/>
  <c r="H54" i="11"/>
  <c r="M3" i="12" s="1"/>
  <c r="N3" i="12" s="1"/>
  <c r="I38" i="11"/>
  <c r="I70" i="11"/>
  <c r="I54" i="11"/>
  <c r="J86" i="11"/>
  <c r="J102" i="11" s="1"/>
  <c r="J118" i="11" s="1"/>
  <c r="K149" i="6"/>
  <c r="J149" i="6"/>
  <c r="N54" i="6"/>
  <c r="M149" i="6"/>
  <c r="P6" i="6"/>
  <c r="L149" i="6"/>
  <c r="E178" i="6" s="1"/>
  <c r="M38" i="11"/>
  <c r="L38" i="11"/>
  <c r="L54" i="11"/>
  <c r="Q3" i="12" s="1"/>
  <c r="R3" i="12" s="1"/>
  <c r="M70" i="11"/>
  <c r="L70" i="11"/>
  <c r="M54" i="11"/>
  <c r="D86" i="11"/>
  <c r="O149" i="6"/>
  <c r="N149" i="6"/>
  <c r="O38" i="6"/>
  <c r="E54" i="6"/>
  <c r="L6" i="6"/>
  <c r="K38" i="6"/>
  <c r="H70" i="6"/>
  <c r="I149" i="6"/>
  <c r="N6" i="6"/>
  <c r="N8" i="6" s="1"/>
  <c r="O8" i="6" s="1"/>
  <c r="H149" i="6"/>
  <c r="E177" i="6" s="1"/>
  <c r="O38" i="11"/>
  <c r="N54" i="11"/>
  <c r="N38" i="11"/>
  <c r="O54" i="11"/>
  <c r="N70" i="11"/>
  <c r="O70" i="11"/>
  <c r="F38" i="11"/>
  <c r="F86" i="11" s="1"/>
  <c r="F102" i="11" s="1"/>
  <c r="F118" i="11" s="1"/>
  <c r="G54" i="11"/>
  <c r="G38" i="11"/>
  <c r="G70" i="11"/>
  <c r="F70" i="11"/>
  <c r="F54" i="11"/>
  <c r="M147" i="6"/>
  <c r="L147" i="6"/>
  <c r="J68" i="6"/>
  <c r="J147" i="6"/>
  <c r="K147" i="6"/>
  <c r="G36" i="11"/>
  <c r="F36" i="11"/>
  <c r="G52" i="11"/>
  <c r="G84" i="11" s="1"/>
  <c r="G100" i="11" s="1"/>
  <c r="G116" i="11" s="1"/>
  <c r="G68" i="11"/>
  <c r="F52" i="11"/>
  <c r="I5" i="12" s="1"/>
  <c r="J5" i="12" s="1"/>
  <c r="F68" i="11"/>
  <c r="I36" i="6"/>
  <c r="H68" i="6"/>
  <c r="I147" i="6"/>
  <c r="H147" i="6"/>
  <c r="D36" i="11"/>
  <c r="D84" i="11" s="1"/>
  <c r="D100" i="11" s="1"/>
  <c r="D116" i="11" s="1"/>
  <c r="D145" i="11" s="1"/>
  <c r="E52" i="11"/>
  <c r="E36" i="11"/>
  <c r="E84" i="11" s="1"/>
  <c r="E100" i="11" s="1"/>
  <c r="E116" i="11" s="1"/>
  <c r="E68" i="11"/>
  <c r="D68" i="11"/>
  <c r="D52" i="11"/>
  <c r="K36" i="11"/>
  <c r="J36" i="11"/>
  <c r="J52" i="11"/>
  <c r="M5" i="12" s="1"/>
  <c r="N5" i="12" s="1"/>
  <c r="K68" i="11"/>
  <c r="J68" i="11"/>
  <c r="K52" i="11"/>
  <c r="L36" i="11"/>
  <c r="M36" i="11"/>
  <c r="L52" i="11"/>
  <c r="L68" i="11"/>
  <c r="M52" i="11"/>
  <c r="M68" i="11"/>
  <c r="N52" i="11"/>
  <c r="Q5" i="12" s="1"/>
  <c r="R5" i="12" s="1"/>
  <c r="N36" i="11"/>
  <c r="N84" i="11" s="1"/>
  <c r="O36" i="11"/>
  <c r="N68" i="11"/>
  <c r="O52" i="11"/>
  <c r="O84" i="11" s="1"/>
  <c r="O100" i="11" s="1"/>
  <c r="O116" i="11" s="1"/>
  <c r="O68" i="11"/>
  <c r="H68" i="11"/>
  <c r="H52" i="11"/>
  <c r="H36" i="11"/>
  <c r="H84" i="11" s="1"/>
  <c r="H100" i="11" s="1"/>
  <c r="H116" i="11" s="1"/>
  <c r="I36" i="11"/>
  <c r="I52" i="11"/>
  <c r="I68" i="11"/>
  <c r="N147" i="6"/>
  <c r="O147" i="6"/>
  <c r="N51" i="11"/>
  <c r="O35" i="11"/>
  <c r="N35" i="11"/>
  <c r="N83" i="11" s="1"/>
  <c r="N99" i="11" s="1"/>
  <c r="N115" i="11" s="1"/>
  <c r="O67" i="11"/>
  <c r="O51" i="11"/>
  <c r="N67" i="11"/>
  <c r="M146" i="6"/>
  <c r="L146" i="6"/>
  <c r="K35" i="11"/>
  <c r="J35" i="11"/>
  <c r="J51" i="11"/>
  <c r="J83" i="11" s="1"/>
  <c r="J99" i="11" s="1"/>
  <c r="J115" i="11" s="1"/>
  <c r="K67" i="11"/>
  <c r="K51" i="11"/>
  <c r="J67" i="11"/>
  <c r="N146" i="6"/>
  <c r="O146" i="6"/>
  <c r="M83" i="11"/>
  <c r="M99" i="11" s="1"/>
  <c r="M115" i="11" s="1"/>
  <c r="H67" i="11"/>
  <c r="I35" i="11"/>
  <c r="I83" i="11" s="1"/>
  <c r="I99" i="11" s="1"/>
  <c r="I115" i="11" s="1"/>
  <c r="H51" i="11"/>
  <c r="M4" i="12" s="1"/>
  <c r="N4" i="12" s="1"/>
  <c r="H35" i="11"/>
  <c r="I51" i="11"/>
  <c r="I67" i="11"/>
  <c r="G51" i="11"/>
  <c r="G35" i="11"/>
  <c r="G83" i="11" s="1"/>
  <c r="G99" i="11" s="1"/>
  <c r="G115" i="11" s="1"/>
  <c r="F35" i="11"/>
  <c r="F51" i="11"/>
  <c r="F83" i="11" s="1"/>
  <c r="F99" i="11" s="1"/>
  <c r="F115" i="11" s="1"/>
  <c r="F67" i="11"/>
  <c r="G67" i="11"/>
  <c r="L83" i="11"/>
  <c r="H146" i="6"/>
  <c r="H67" i="6"/>
  <c r="I146" i="6"/>
  <c r="I67" i="6"/>
  <c r="N135" i="6"/>
  <c r="N138" i="6"/>
  <c r="M137" i="6"/>
  <c r="M135" i="6"/>
  <c r="L135" i="6"/>
  <c r="N131" i="6"/>
  <c r="O135" i="6"/>
  <c r="M35" i="6"/>
  <c r="O137" i="6"/>
  <c r="M138" i="6"/>
  <c r="O138" i="6"/>
  <c r="E38" i="6"/>
  <c r="N137" i="6"/>
  <c r="N133" i="6"/>
  <c r="M36" i="6"/>
  <c r="O131" i="6"/>
  <c r="L138" i="6"/>
  <c r="N134" i="6"/>
  <c r="M141" i="6"/>
  <c r="L70" i="6"/>
  <c r="E42" i="3" s="1"/>
  <c r="M133" i="6"/>
  <c r="O134" i="6"/>
  <c r="L136" i="6"/>
  <c r="O132" i="6"/>
  <c r="M67" i="6"/>
  <c r="L67" i="6"/>
  <c r="F36" i="6"/>
  <c r="H54" i="6"/>
  <c r="M3" i="10" s="1"/>
  <c r="N3" i="10" s="1"/>
  <c r="L52" i="6"/>
  <c r="M70" i="6"/>
  <c r="L51" i="6"/>
  <c r="Q4" i="10" s="1"/>
  <c r="R4" i="10" s="1"/>
  <c r="M51" i="6"/>
  <c r="G52" i="6"/>
  <c r="L76" i="6"/>
  <c r="E44" i="3" s="1"/>
  <c r="M76" i="6"/>
  <c r="M44" i="6"/>
  <c r="L35" i="6"/>
  <c r="M43" i="6"/>
  <c r="M52" i="6"/>
  <c r="D38" i="6"/>
  <c r="C28" i="3" s="1"/>
  <c r="L75" i="6"/>
  <c r="E43" i="3"/>
  <c r="E83" i="3" s="1"/>
  <c r="E87" i="3" s="1"/>
  <c r="M75" i="6"/>
  <c r="M59" i="6"/>
  <c r="M68" i="6"/>
  <c r="D54" i="6"/>
  <c r="I3" i="10" s="1"/>
  <c r="J3" i="10" s="1"/>
  <c r="L68" i="6"/>
  <c r="L36" i="6"/>
  <c r="L85" i="6"/>
  <c r="L101" i="6" s="1"/>
  <c r="L117" i="6" s="1"/>
  <c r="L93" i="6"/>
  <c r="L109" i="6" s="1"/>
  <c r="L125" i="6" s="1"/>
  <c r="M87" i="6"/>
  <c r="M103" i="6" s="1"/>
  <c r="M119" i="6" s="1"/>
  <c r="M85" i="6"/>
  <c r="M101" i="6" s="1"/>
  <c r="M117" i="6" s="1"/>
  <c r="O90" i="6"/>
  <c r="O106" i="6" s="1"/>
  <c r="O122" i="6" s="1"/>
  <c r="O84" i="6"/>
  <c r="O100" i="6" s="1"/>
  <c r="O116" i="6" s="1"/>
  <c r="O85" i="6"/>
  <c r="O101" i="6" s="1"/>
  <c r="O117" i="6" s="1"/>
  <c r="C44" i="3"/>
  <c r="O83" i="6"/>
  <c r="O99" i="6" s="1"/>
  <c r="O115" i="6" s="1"/>
  <c r="L54" i="6"/>
  <c r="Q9" i="10"/>
  <c r="R9" i="10" s="1"/>
  <c r="O89" i="6"/>
  <c r="O105" i="6" s="1"/>
  <c r="O121" i="6" s="1"/>
  <c r="O86" i="6"/>
  <c r="O102" i="6" s="1"/>
  <c r="O118" i="6" s="1"/>
  <c r="N88" i="6"/>
  <c r="D43" i="3"/>
  <c r="D83" i="3" s="1"/>
  <c r="D87" i="3" s="1"/>
  <c r="Q7" i="10"/>
  <c r="R7" i="10" s="1"/>
  <c r="L38" i="6"/>
  <c r="L59" i="6"/>
  <c r="Q11" i="10" s="1"/>
  <c r="R11" i="10" s="1"/>
  <c r="G54" i="6"/>
  <c r="L60" i="6"/>
  <c r="L140" i="6" s="1"/>
  <c r="G38" i="6"/>
  <c r="N89" i="6"/>
  <c r="N105" i="6" s="1"/>
  <c r="N121" i="6" s="1"/>
  <c r="M38" i="6"/>
  <c r="N87" i="6"/>
  <c r="N103" i="6" s="1"/>
  <c r="N119" i="6" s="1"/>
  <c r="C43" i="3"/>
  <c r="M88" i="6"/>
  <c r="M104" i="6" s="1"/>
  <c r="M120" i="6" s="1"/>
  <c r="M54" i="6"/>
  <c r="F54" i="6"/>
  <c r="M60" i="6"/>
  <c r="L89" i="6"/>
  <c r="L105" i="6" s="1"/>
  <c r="L121" i="6" s="1"/>
  <c r="M89" i="6"/>
  <c r="M105" i="6" s="1"/>
  <c r="M121" i="6" s="1"/>
  <c r="O88" i="6"/>
  <c r="O104" i="6" s="1"/>
  <c r="O120" i="6" s="1"/>
  <c r="L87" i="6"/>
  <c r="L103" i="6" s="1"/>
  <c r="L119" i="6" s="1"/>
  <c r="N83" i="6"/>
  <c r="N99" i="6" s="1"/>
  <c r="N115" i="6" s="1"/>
  <c r="N85" i="6"/>
  <c r="N101" i="6" s="1"/>
  <c r="N117" i="6" s="1"/>
  <c r="M93" i="6"/>
  <c r="M109" i="6" s="1"/>
  <c r="M125" i="6" s="1"/>
  <c r="N84" i="6"/>
  <c r="N86" i="6"/>
  <c r="N102" i="6" s="1"/>
  <c r="N118" i="6" s="1"/>
  <c r="M90" i="6"/>
  <c r="M106" i="6" s="1"/>
  <c r="M122" i="6" s="1"/>
  <c r="L88" i="6"/>
  <c r="L104" i="6" s="1"/>
  <c r="L120" i="6" s="1"/>
  <c r="O87" i="6"/>
  <c r="O103" i="6" s="1"/>
  <c r="O119" i="6" s="1"/>
  <c r="L90" i="6"/>
  <c r="L106" i="6" s="1"/>
  <c r="L122" i="6" s="1"/>
  <c r="N90" i="6"/>
  <c r="J67" i="6"/>
  <c r="E35" i="3"/>
  <c r="J73" i="6"/>
  <c r="J69" i="6"/>
  <c r="J70" i="6"/>
  <c r="M25" i="6"/>
  <c r="J54" i="6"/>
  <c r="H61" i="6"/>
  <c r="M13" i="10" s="1"/>
  <c r="N13" i="10" s="1"/>
  <c r="H53" i="6"/>
  <c r="H51" i="6"/>
  <c r="M4" i="10" s="1"/>
  <c r="N4" i="10" s="1"/>
  <c r="J53" i="6"/>
  <c r="H52" i="6"/>
  <c r="J52" i="6"/>
  <c r="M5" i="10" s="1"/>
  <c r="N5" i="10" s="1"/>
  <c r="J51" i="6"/>
  <c r="J57" i="6"/>
  <c r="K54" i="6"/>
  <c r="K53" i="6"/>
  <c r="I52" i="6"/>
  <c r="K52" i="6"/>
  <c r="I51" i="6"/>
  <c r="K51" i="6"/>
  <c r="I54" i="6"/>
  <c r="I61" i="6"/>
  <c r="I53" i="6"/>
  <c r="K57" i="6"/>
  <c r="H36" i="6"/>
  <c r="K67" i="6"/>
  <c r="K73" i="6"/>
  <c r="K68" i="6"/>
  <c r="K69" i="6"/>
  <c r="I68" i="6"/>
  <c r="K70" i="6"/>
  <c r="I77" i="6"/>
  <c r="I70" i="6"/>
  <c r="N25" i="6"/>
  <c r="J41" i="6"/>
  <c r="H37" i="6"/>
  <c r="H35" i="6"/>
  <c r="J38" i="6"/>
  <c r="J36" i="6"/>
  <c r="J37" i="6"/>
  <c r="J35" i="6"/>
  <c r="H45" i="6"/>
  <c r="H38" i="6"/>
  <c r="B38" i="7"/>
  <c r="I4" i="8"/>
  <c r="I5" i="8"/>
  <c r="I6" i="8"/>
  <c r="I8" i="8"/>
  <c r="I3" i="8"/>
  <c r="H3" i="8"/>
  <c r="B37" i="7"/>
  <c r="H10" i="8"/>
  <c r="F10" i="8"/>
  <c r="H9" i="8"/>
  <c r="F9" i="8"/>
  <c r="H8" i="8"/>
  <c r="F8" i="8"/>
  <c r="F7" i="8"/>
  <c r="H6" i="8"/>
  <c r="F6" i="8"/>
  <c r="H5" i="8"/>
  <c r="F5" i="8"/>
  <c r="H4" i="8"/>
  <c r="F4" i="8"/>
  <c r="F3" i="8"/>
  <c r="B34" i="7"/>
  <c r="D38" i="7"/>
  <c r="D39" i="7"/>
  <c r="B8" i="7"/>
  <c r="I26" i="6" s="1"/>
  <c r="X2" i="1"/>
  <c r="M83" i="6" l="1"/>
  <c r="M99" i="6" s="1"/>
  <c r="M115" i="6" s="1"/>
  <c r="I93" i="11"/>
  <c r="I109" i="11" s="1"/>
  <c r="I125" i="11" s="1"/>
  <c r="M89" i="11"/>
  <c r="M105" i="11" s="1"/>
  <c r="M121" i="11" s="1"/>
  <c r="H85" i="11"/>
  <c r="H101" i="11" s="1"/>
  <c r="H117" i="11" s="1"/>
  <c r="H109" i="11"/>
  <c r="H125" i="11" s="1"/>
  <c r="K13" i="12"/>
  <c r="L13" i="12" s="1"/>
  <c r="L133" i="6"/>
  <c r="F84" i="11"/>
  <c r="J85" i="6"/>
  <c r="J101" i="6" s="1"/>
  <c r="J117" i="6" s="1"/>
  <c r="M84" i="11"/>
  <c r="M100" i="11" s="1"/>
  <c r="M116" i="11" s="1"/>
  <c r="L86" i="11"/>
  <c r="E85" i="11"/>
  <c r="E101" i="11" s="1"/>
  <c r="E117" i="11" s="1"/>
  <c r="G85" i="11"/>
  <c r="G101" i="11" s="1"/>
  <c r="G117" i="11" s="1"/>
  <c r="H83" i="11"/>
  <c r="H99" i="11" s="1"/>
  <c r="H115" i="11" s="1"/>
  <c r="K83" i="11"/>
  <c r="K99" i="11" s="1"/>
  <c r="K115" i="11" s="1"/>
  <c r="Q9" i="12"/>
  <c r="R9" i="12" s="1"/>
  <c r="R15" i="12" s="1"/>
  <c r="E28" i="12" s="1"/>
  <c r="N89" i="11"/>
  <c r="N105" i="11" s="1"/>
  <c r="N121" i="11" s="1"/>
  <c r="M85" i="11"/>
  <c r="M101" i="11" s="1"/>
  <c r="M117" i="11" s="1"/>
  <c r="J85" i="11"/>
  <c r="J101" i="11" s="1"/>
  <c r="J117" i="11" s="1"/>
  <c r="D93" i="11"/>
  <c r="D109" i="11" s="1"/>
  <c r="D125" i="11" s="1"/>
  <c r="D154" i="11" s="1"/>
  <c r="G13" i="12" s="1"/>
  <c r="H13" i="12" s="1"/>
  <c r="O88" i="11"/>
  <c r="O104" i="11" s="1"/>
  <c r="O120" i="11" s="1"/>
  <c r="L89" i="11"/>
  <c r="L105" i="11" s="1"/>
  <c r="L121" i="11" s="1"/>
  <c r="D89" i="11"/>
  <c r="D105" i="11" s="1"/>
  <c r="D121" i="11" s="1"/>
  <c r="D150" i="11" s="1"/>
  <c r="O85" i="11"/>
  <c r="O101" i="11" s="1"/>
  <c r="O117" i="11" s="1"/>
  <c r="K85" i="11"/>
  <c r="K101" i="11" s="1"/>
  <c r="K117" i="11" s="1"/>
  <c r="L93" i="11"/>
  <c r="K86" i="11"/>
  <c r="K102" i="11" s="1"/>
  <c r="K118" i="11" s="1"/>
  <c r="E93" i="11"/>
  <c r="E109" i="11" s="1"/>
  <c r="E125" i="11" s="1"/>
  <c r="N90" i="11"/>
  <c r="F89" i="11"/>
  <c r="F105" i="11" s="1"/>
  <c r="F121" i="11" s="1"/>
  <c r="K89" i="11"/>
  <c r="K105" i="11" s="1"/>
  <c r="K121" i="11" s="1"/>
  <c r="J89" i="11"/>
  <c r="J105" i="11" s="1"/>
  <c r="J121" i="11" s="1"/>
  <c r="N104" i="11"/>
  <c r="N120" i="11" s="1"/>
  <c r="N87" i="11"/>
  <c r="N156" i="6"/>
  <c r="F178" i="6"/>
  <c r="G86" i="11"/>
  <c r="G102" i="11" s="1"/>
  <c r="G118" i="11" s="1"/>
  <c r="L102" i="11"/>
  <c r="L118" i="11" s="1"/>
  <c r="D102" i="11"/>
  <c r="D118" i="11" s="1"/>
  <c r="D147" i="11" s="1"/>
  <c r="O3" i="12" s="1"/>
  <c r="P3" i="12" s="1"/>
  <c r="G3" i="12"/>
  <c r="H3" i="12" s="1"/>
  <c r="P8" i="6"/>
  <c r="Q8" i="6" s="1"/>
  <c r="I86" i="11"/>
  <c r="I102" i="11" s="1"/>
  <c r="I118" i="11" s="1"/>
  <c r="M86" i="11"/>
  <c r="M102" i="11" s="1"/>
  <c r="M118" i="11" s="1"/>
  <c r="O86" i="11"/>
  <c r="O102" i="11" s="1"/>
  <c r="O118" i="11" s="1"/>
  <c r="H102" i="11"/>
  <c r="H118" i="11" s="1"/>
  <c r="N86" i="11"/>
  <c r="N102" i="11" s="1"/>
  <c r="N118" i="11" s="1"/>
  <c r="F100" i="11"/>
  <c r="F116" i="11" s="1"/>
  <c r="G5" i="12"/>
  <c r="H5" i="12" s="1"/>
  <c r="I84" i="11"/>
  <c r="I100" i="11" s="1"/>
  <c r="I116" i="11" s="1"/>
  <c r="L84" i="11"/>
  <c r="L100" i="11" s="1"/>
  <c r="L116" i="11" s="1"/>
  <c r="N100" i="11"/>
  <c r="N116" i="11" s="1"/>
  <c r="O5" i="12"/>
  <c r="P5" i="12" s="1"/>
  <c r="K84" i="11"/>
  <c r="K100" i="11" s="1"/>
  <c r="K116" i="11" s="1"/>
  <c r="J84" i="11"/>
  <c r="M84" i="6"/>
  <c r="M100" i="6" s="1"/>
  <c r="M116" i="6" s="1"/>
  <c r="L99" i="11"/>
  <c r="L115" i="11" s="1"/>
  <c r="O83" i="11"/>
  <c r="O99" i="11" s="1"/>
  <c r="O115" i="11" s="1"/>
  <c r="M132" i="6"/>
  <c r="L83" i="6"/>
  <c r="L99" i="6" s="1"/>
  <c r="L115" i="6" s="1"/>
  <c r="M140" i="6"/>
  <c r="C42" i="3"/>
  <c r="C45" i="3" s="1"/>
  <c r="L134" i="6"/>
  <c r="D35" i="3"/>
  <c r="M134" i="6"/>
  <c r="L139" i="6"/>
  <c r="L132" i="6"/>
  <c r="M139" i="6"/>
  <c r="M92" i="6"/>
  <c r="M108" i="6" s="1"/>
  <c r="M124" i="6" s="1"/>
  <c r="M91" i="6"/>
  <c r="M107" i="6" s="1"/>
  <c r="M123" i="6" s="1"/>
  <c r="L86" i="6"/>
  <c r="L102" i="6" s="1"/>
  <c r="L118" i="6" s="1"/>
  <c r="K85" i="6"/>
  <c r="K101" i="6" s="1"/>
  <c r="K117" i="6" s="1"/>
  <c r="L84" i="6"/>
  <c r="L100" i="6" s="1"/>
  <c r="L116" i="6" s="1"/>
  <c r="C58" i="3"/>
  <c r="D28" i="3"/>
  <c r="L91" i="6"/>
  <c r="L107" i="6" s="1"/>
  <c r="L123" i="6" s="1"/>
  <c r="M86" i="6"/>
  <c r="M102" i="6" s="1"/>
  <c r="M118" i="6" s="1"/>
  <c r="H93" i="6"/>
  <c r="H109" i="6" s="1"/>
  <c r="H125" i="6" s="1"/>
  <c r="J83" i="6"/>
  <c r="J99" i="6" s="1"/>
  <c r="J115" i="6" s="1"/>
  <c r="I83" i="6"/>
  <c r="I99" i="6" s="1"/>
  <c r="I115" i="6" s="1"/>
  <c r="I84" i="6"/>
  <c r="I100" i="6" s="1"/>
  <c r="I116" i="6" s="1"/>
  <c r="K83" i="6"/>
  <c r="K99" i="6" s="1"/>
  <c r="K115" i="6" s="1"/>
  <c r="H84" i="6"/>
  <c r="H100" i="6" s="1"/>
  <c r="H116" i="6" s="1"/>
  <c r="N106" i="6"/>
  <c r="N122" i="6" s="1"/>
  <c r="Q12" i="10"/>
  <c r="R12" i="10" s="1"/>
  <c r="D44" i="3"/>
  <c r="F44" i="3" s="1"/>
  <c r="K84" i="6"/>
  <c r="K100" i="6" s="1"/>
  <c r="K116" i="6" s="1"/>
  <c r="I85" i="6"/>
  <c r="I101" i="6" s="1"/>
  <c r="I117" i="6" s="1"/>
  <c r="K86" i="6"/>
  <c r="K102" i="6" s="1"/>
  <c r="K118" i="6" s="1"/>
  <c r="E45" i="3"/>
  <c r="N104" i="6"/>
  <c r="N120" i="6" s="1"/>
  <c r="K89" i="6"/>
  <c r="K105" i="6" s="1"/>
  <c r="K121" i="6" s="1"/>
  <c r="H85" i="6"/>
  <c r="H101" i="6" s="1"/>
  <c r="H117" i="6" s="1"/>
  <c r="I93" i="6"/>
  <c r="I109" i="6" s="1"/>
  <c r="I125" i="6" s="1"/>
  <c r="N100" i="6"/>
  <c r="N116" i="6" s="1"/>
  <c r="Q3" i="10"/>
  <c r="R3" i="10" s="1"/>
  <c r="D42" i="3"/>
  <c r="H86" i="6"/>
  <c r="C64" i="3"/>
  <c r="C35" i="3"/>
  <c r="I86" i="6"/>
  <c r="I102" i="6" s="1"/>
  <c r="I118" i="6" s="1"/>
  <c r="C83" i="3"/>
  <c r="C87" i="3" s="1"/>
  <c r="F43" i="3"/>
  <c r="L92" i="6"/>
  <c r="L108" i="6" s="1"/>
  <c r="L124" i="6" s="1"/>
  <c r="J89" i="6"/>
  <c r="J105" i="6" s="1"/>
  <c r="J121" i="6" s="1"/>
  <c r="J84" i="6"/>
  <c r="J86" i="6"/>
  <c r="J102" i="6" s="1"/>
  <c r="J118" i="6" s="1"/>
  <c r="B39" i="7"/>
  <c r="F26" i="6"/>
  <c r="E26" i="6"/>
  <c r="D26" i="6"/>
  <c r="D40" i="7"/>
  <c r="AA52" i="1"/>
  <c r="V2" i="1"/>
  <c r="N52" i="1"/>
  <c r="AW52" i="1"/>
  <c r="AX52" i="1"/>
  <c r="AY52" i="1"/>
  <c r="D52" i="1"/>
  <c r="R32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7" i="1"/>
  <c r="AA8" i="1"/>
  <c r="AA9" i="1"/>
  <c r="AA10" i="1"/>
  <c r="AA5" i="1"/>
  <c r="AA6" i="1"/>
  <c r="R23" i="1"/>
  <c r="R24" i="1"/>
  <c r="R25" i="1"/>
  <c r="R26" i="1"/>
  <c r="R30" i="1"/>
  <c r="R31" i="1"/>
  <c r="R33" i="1"/>
  <c r="R34" i="1"/>
  <c r="R29" i="1"/>
  <c r="AI32" i="1"/>
  <c r="AI34" i="1"/>
  <c r="AI36" i="1"/>
  <c r="AI38" i="1"/>
  <c r="AI42" i="1"/>
  <c r="AI44" i="1"/>
  <c r="AI46" i="1"/>
  <c r="AH29" i="1"/>
  <c r="AH31" i="1"/>
  <c r="AH33" i="1"/>
  <c r="AH35" i="1"/>
  <c r="AH37" i="1"/>
  <c r="F11" i="11" s="1"/>
  <c r="AH39" i="1"/>
  <c r="AH41" i="1"/>
  <c r="AH43" i="1"/>
  <c r="AH45" i="1"/>
  <c r="AH47" i="1"/>
  <c r="AH48" i="1"/>
  <c r="F14" i="11" s="1"/>
  <c r="AH49" i="1"/>
  <c r="AH50" i="1"/>
  <c r="AH51" i="1"/>
  <c r="AY4" i="1"/>
  <c r="AY5" i="1"/>
  <c r="AY6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3" i="1"/>
  <c r="AX4" i="1"/>
  <c r="AX5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3" i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W46" i="1"/>
  <c r="AW47" i="1"/>
  <c r="AW48" i="1"/>
  <c r="AW49" i="1"/>
  <c r="AW50" i="1"/>
  <c r="AW51" i="1"/>
  <c r="AF48" i="1"/>
  <c r="D14" i="11" s="1"/>
  <c r="AG32" i="1"/>
  <c r="AG34" i="1"/>
  <c r="AG36" i="1"/>
  <c r="AG38" i="1"/>
  <c r="AG42" i="1"/>
  <c r="AG44" i="1"/>
  <c r="AG46" i="1"/>
  <c r="AF8" i="1"/>
  <c r="AF29" i="1"/>
  <c r="AF31" i="1"/>
  <c r="AF33" i="1"/>
  <c r="AF35" i="1"/>
  <c r="AF37" i="1"/>
  <c r="D11" i="11" s="1"/>
  <c r="AF41" i="1"/>
  <c r="AF43" i="1"/>
  <c r="AF45" i="1"/>
  <c r="AF47" i="1"/>
  <c r="AF49" i="1"/>
  <c r="AF50" i="1"/>
  <c r="AF51" i="1"/>
  <c r="L17" i="1"/>
  <c r="L18" i="1"/>
  <c r="AR46" i="1"/>
  <c r="AR45" i="1"/>
  <c r="E45" i="1"/>
  <c r="AT45" i="1" s="1"/>
  <c r="D45" i="1"/>
  <c r="E46" i="1"/>
  <c r="AT46" i="1" s="1"/>
  <c r="D46" i="1"/>
  <c r="E44" i="1"/>
  <c r="AT44" i="1" s="1"/>
  <c r="D44" i="1"/>
  <c r="E43" i="1"/>
  <c r="AT43" i="1" s="1"/>
  <c r="D43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7" i="1"/>
  <c r="AR48" i="1"/>
  <c r="AR49" i="1"/>
  <c r="AR50" i="1"/>
  <c r="AR51" i="1"/>
  <c r="D42" i="1"/>
  <c r="E42" i="1"/>
  <c r="AT42" i="1" s="1"/>
  <c r="D40" i="1"/>
  <c r="E40" i="1"/>
  <c r="AT40" i="1" s="1"/>
  <c r="D38" i="1"/>
  <c r="E38" i="1"/>
  <c r="AT38" i="1" s="1"/>
  <c r="D36" i="1"/>
  <c r="E36" i="1"/>
  <c r="AT36" i="1" s="1"/>
  <c r="L34" i="1"/>
  <c r="L32" i="1"/>
  <c r="L30" i="1"/>
  <c r="L28" i="1"/>
  <c r="L26" i="1"/>
  <c r="L24" i="1"/>
  <c r="L22" i="1"/>
  <c r="L20" i="1"/>
  <c r="L16" i="1"/>
  <c r="L14" i="1"/>
  <c r="L12" i="1"/>
  <c r="D10" i="1"/>
  <c r="E10" i="1"/>
  <c r="AT10" i="1" s="1"/>
  <c r="D8" i="1"/>
  <c r="E8" i="1"/>
  <c r="AT8" i="1" s="1"/>
  <c r="D6" i="1"/>
  <c r="E6" i="1"/>
  <c r="AT6" i="1" s="1"/>
  <c r="D4" i="1"/>
  <c r="E4" i="1"/>
  <c r="AT4" i="1" s="1"/>
  <c r="E41" i="1"/>
  <c r="AT41" i="1" s="1"/>
  <c r="D41" i="1"/>
  <c r="D47" i="1"/>
  <c r="E5" i="1"/>
  <c r="AT5" i="1" s="1"/>
  <c r="D5" i="1"/>
  <c r="F12" i="6" l="1"/>
  <c r="F12" i="11"/>
  <c r="F10" i="11"/>
  <c r="G10" i="11"/>
  <c r="AU41" i="1"/>
  <c r="BA41" i="1"/>
  <c r="D14" i="6"/>
  <c r="D43" i="6" s="1"/>
  <c r="G11" i="11"/>
  <c r="K40" i="11" s="1"/>
  <c r="F42" i="3"/>
  <c r="L109" i="11"/>
  <c r="L125" i="11" s="1"/>
  <c r="O13" i="12"/>
  <c r="P13" i="12" s="1"/>
  <c r="E59" i="11"/>
  <c r="D43" i="11"/>
  <c r="E43" i="11"/>
  <c r="E91" i="11" s="1"/>
  <c r="E107" i="11" s="1"/>
  <c r="E123" i="11" s="1"/>
  <c r="D59" i="11"/>
  <c r="I11" i="12" s="1"/>
  <c r="J11" i="12" s="1"/>
  <c r="E75" i="11"/>
  <c r="D75" i="11"/>
  <c r="D15" i="11"/>
  <c r="F15" i="11"/>
  <c r="H75" i="11"/>
  <c r="H43" i="11"/>
  <c r="H59" i="11"/>
  <c r="M11" i="12" s="1"/>
  <c r="N11" i="12" s="1"/>
  <c r="I43" i="11"/>
  <c r="I59" i="11"/>
  <c r="I75" i="11"/>
  <c r="F14" i="6"/>
  <c r="G13" i="11"/>
  <c r="AU43" i="1"/>
  <c r="BA43" i="1"/>
  <c r="D13" i="11"/>
  <c r="E13" i="11"/>
  <c r="AU42" i="1"/>
  <c r="BA42" i="1"/>
  <c r="AU44" i="1"/>
  <c r="BA44" i="1"/>
  <c r="AU46" i="1"/>
  <c r="BA46" i="1"/>
  <c r="AU45" i="1"/>
  <c r="BA45" i="1"/>
  <c r="F13" i="11"/>
  <c r="N106" i="11"/>
  <c r="N122" i="11" s="1"/>
  <c r="AU40" i="1"/>
  <c r="BA40" i="1"/>
  <c r="I152" i="6"/>
  <c r="H152" i="6"/>
  <c r="H73" i="6"/>
  <c r="E11" i="11"/>
  <c r="AU38" i="1"/>
  <c r="BA38" i="1"/>
  <c r="H72" i="11"/>
  <c r="I40" i="11"/>
  <c r="H40" i="11"/>
  <c r="H56" i="11"/>
  <c r="I72" i="11"/>
  <c r="I56" i="11"/>
  <c r="AU36" i="1"/>
  <c r="BA36" i="1"/>
  <c r="E56" i="11"/>
  <c r="E40" i="11"/>
  <c r="D40" i="11"/>
  <c r="E72" i="11"/>
  <c r="D72" i="11"/>
  <c r="D56" i="11"/>
  <c r="D10" i="11"/>
  <c r="H71" i="11"/>
  <c r="I39" i="11"/>
  <c r="H39" i="11"/>
  <c r="H55" i="11"/>
  <c r="I55" i="11"/>
  <c r="I71" i="11"/>
  <c r="J55" i="11"/>
  <c r="M7" i="12" s="1"/>
  <c r="N7" i="12" s="1"/>
  <c r="J39" i="11"/>
  <c r="K39" i="11"/>
  <c r="J71" i="11"/>
  <c r="K55" i="11"/>
  <c r="K71" i="11"/>
  <c r="E10" i="11"/>
  <c r="N103" i="11"/>
  <c r="N119" i="11" s="1"/>
  <c r="K3" i="12"/>
  <c r="L3" i="12" s="1"/>
  <c r="J100" i="11"/>
  <c r="J116" i="11" s="1"/>
  <c r="K5" i="12"/>
  <c r="L5" i="12" s="1"/>
  <c r="AU10" i="1"/>
  <c r="BA10" i="1"/>
  <c r="AU4" i="1"/>
  <c r="BA4" i="1"/>
  <c r="D6" i="6"/>
  <c r="E35" i="6" s="1"/>
  <c r="D6" i="11"/>
  <c r="AU6" i="1"/>
  <c r="BA6" i="1"/>
  <c r="AU8" i="1"/>
  <c r="BA8" i="1"/>
  <c r="AU5" i="1"/>
  <c r="BA5" i="1"/>
  <c r="H102" i="6"/>
  <c r="H118" i="6" s="1"/>
  <c r="L8" i="1"/>
  <c r="M8" i="1" s="1"/>
  <c r="M28" i="1"/>
  <c r="P28" i="1"/>
  <c r="L4" i="1"/>
  <c r="M4" i="1" s="1"/>
  <c r="M16" i="1"/>
  <c r="P16" i="1"/>
  <c r="L44" i="1"/>
  <c r="M44" i="1" s="1"/>
  <c r="F11" i="6"/>
  <c r="G11" i="6"/>
  <c r="J56" i="6" s="1"/>
  <c r="M9" i="10" s="1"/>
  <c r="N9" i="10" s="1"/>
  <c r="L36" i="1"/>
  <c r="M36" i="1" s="1"/>
  <c r="R10" i="1"/>
  <c r="M14" i="1"/>
  <c r="P14" i="1"/>
  <c r="M32" i="1"/>
  <c r="P32" i="1"/>
  <c r="J100" i="6"/>
  <c r="J116" i="6" s="1"/>
  <c r="M34" i="1"/>
  <c r="P34" i="1"/>
  <c r="L42" i="1"/>
  <c r="M42" i="1" s="1"/>
  <c r="P42" i="1"/>
  <c r="M18" i="1"/>
  <c r="P18" i="1"/>
  <c r="L5" i="1"/>
  <c r="M5" i="1" s="1"/>
  <c r="P5" i="1"/>
  <c r="L6" i="1"/>
  <c r="M6" i="1" s="1"/>
  <c r="M20" i="1"/>
  <c r="P20" i="1"/>
  <c r="M17" i="1"/>
  <c r="P17" i="1"/>
  <c r="L52" i="1"/>
  <c r="M52" i="1" s="1"/>
  <c r="P52" i="1"/>
  <c r="G63" i="9" s="1"/>
  <c r="J63" i="9" s="1"/>
  <c r="F35" i="3"/>
  <c r="M22" i="1"/>
  <c r="P22" i="1"/>
  <c r="M24" i="1"/>
  <c r="P24" i="1"/>
  <c r="E11" i="6"/>
  <c r="G56" i="6" s="1"/>
  <c r="F10" i="6"/>
  <c r="R41" i="1"/>
  <c r="M26" i="1"/>
  <c r="P26" i="1"/>
  <c r="L38" i="1"/>
  <c r="M38" i="1" s="1"/>
  <c r="P38" i="1"/>
  <c r="L45" i="1"/>
  <c r="M45" i="1" s="1"/>
  <c r="D45" i="3"/>
  <c r="L47" i="1"/>
  <c r="M47" i="1" s="1"/>
  <c r="D10" i="6"/>
  <c r="D55" i="6" s="1"/>
  <c r="F13" i="6"/>
  <c r="M12" i="1"/>
  <c r="P12" i="1"/>
  <c r="M30" i="1"/>
  <c r="P30" i="1"/>
  <c r="L40" i="1"/>
  <c r="M40" i="1" s="1"/>
  <c r="R15" i="10"/>
  <c r="E28" i="10" s="1"/>
  <c r="E10" i="6"/>
  <c r="D15" i="6"/>
  <c r="E59" i="6"/>
  <c r="D59" i="6"/>
  <c r="I11" i="10" s="1"/>
  <c r="J11" i="10" s="1"/>
  <c r="I41" i="6"/>
  <c r="I73" i="6"/>
  <c r="H57" i="6"/>
  <c r="H41" i="6"/>
  <c r="I57" i="6"/>
  <c r="H83" i="6"/>
  <c r="H99" i="6" s="1"/>
  <c r="H115" i="6" s="1"/>
  <c r="G13" i="6"/>
  <c r="F15" i="6"/>
  <c r="E13" i="6"/>
  <c r="D13" i="6"/>
  <c r="D11" i="6"/>
  <c r="H59" i="6"/>
  <c r="M11" i="10" s="1"/>
  <c r="N11" i="10" s="1"/>
  <c r="I75" i="6"/>
  <c r="G10" i="6"/>
  <c r="H26" i="6"/>
  <c r="N26" i="6" s="1"/>
  <c r="G26" i="6"/>
  <c r="M26" i="6" s="1"/>
  <c r="L23" i="6"/>
  <c r="K23" i="6"/>
  <c r="L46" i="1"/>
  <c r="M46" i="1" s="1"/>
  <c r="R46" i="1"/>
  <c r="L43" i="1"/>
  <c r="M43" i="1" s="1"/>
  <c r="R43" i="1"/>
  <c r="L10" i="1"/>
  <c r="M10" i="1" s="1"/>
  <c r="R40" i="1"/>
  <c r="R38" i="1"/>
  <c r="R45" i="1"/>
  <c r="R36" i="1"/>
  <c r="R44" i="1"/>
  <c r="R42" i="1"/>
  <c r="R52" i="1"/>
  <c r="F12" i="2"/>
  <c r="D48" i="1"/>
  <c r="AR3" i="1"/>
  <c r="E43" i="6" l="1"/>
  <c r="K56" i="11"/>
  <c r="L14" i="6"/>
  <c r="K72" i="11"/>
  <c r="I87" i="11"/>
  <c r="I103" i="11" s="1"/>
  <c r="I119" i="11" s="1"/>
  <c r="J72" i="11"/>
  <c r="J56" i="11"/>
  <c r="M9" i="12" s="1"/>
  <c r="N9" i="12" s="1"/>
  <c r="J40" i="11"/>
  <c r="H73" i="11"/>
  <c r="I41" i="11"/>
  <c r="H41" i="11"/>
  <c r="H57" i="11"/>
  <c r="I73" i="11"/>
  <c r="I57" i="11"/>
  <c r="K87" i="11"/>
  <c r="K103" i="11" s="1"/>
  <c r="K119" i="11" s="1"/>
  <c r="H87" i="11"/>
  <c r="H103" i="11" s="1"/>
  <c r="H119" i="11" s="1"/>
  <c r="H75" i="6"/>
  <c r="H154" i="6"/>
  <c r="N14" i="6"/>
  <c r="I154" i="6"/>
  <c r="E44" i="11"/>
  <c r="E60" i="11"/>
  <c r="D44" i="11"/>
  <c r="D92" i="11" s="1"/>
  <c r="D60" i="11"/>
  <c r="I12" i="12" s="1"/>
  <c r="J12" i="12" s="1"/>
  <c r="D76" i="11"/>
  <c r="E76" i="11"/>
  <c r="I91" i="11"/>
  <c r="I107" i="11" s="1"/>
  <c r="I123" i="11" s="1"/>
  <c r="I155" i="6"/>
  <c r="H76" i="6"/>
  <c r="H155" i="6"/>
  <c r="H91" i="11"/>
  <c r="D91" i="11"/>
  <c r="D107" i="11" s="1"/>
  <c r="D123" i="11" s="1"/>
  <c r="D152" i="11" s="1"/>
  <c r="I59" i="6"/>
  <c r="H43" i="6"/>
  <c r="I43" i="6"/>
  <c r="H76" i="11"/>
  <c r="I44" i="11"/>
  <c r="H44" i="11"/>
  <c r="H60" i="11" a="1"/>
  <c r="H60" i="11" s="1"/>
  <c r="M12" i="12" s="1"/>
  <c r="N12" i="12" s="1"/>
  <c r="I76" i="11"/>
  <c r="I60" i="11"/>
  <c r="P46" i="1"/>
  <c r="H74" i="11"/>
  <c r="H42" i="11"/>
  <c r="I42" i="11"/>
  <c r="H58" i="11"/>
  <c r="I74" i="11"/>
  <c r="I58" i="11"/>
  <c r="K153" i="6"/>
  <c r="J153" i="6"/>
  <c r="H74" i="6"/>
  <c r="H153" i="6"/>
  <c r="I153" i="6"/>
  <c r="G42" i="11"/>
  <c r="F42" i="11"/>
  <c r="F90" i="11" s="1"/>
  <c r="G58" i="11"/>
  <c r="F58" i="11"/>
  <c r="I8" i="12" s="1"/>
  <c r="J8" i="12" s="1"/>
  <c r="G74" i="11"/>
  <c r="F74" i="11"/>
  <c r="E58" i="11"/>
  <c r="E42" i="11"/>
  <c r="D42" i="11"/>
  <c r="D90" i="11" s="1"/>
  <c r="D106" i="11" s="1"/>
  <c r="D122" i="11" s="1"/>
  <c r="D151" i="11" s="1"/>
  <c r="O8" i="12" s="1"/>
  <c r="P8" i="12" s="1"/>
  <c r="E74" i="11"/>
  <c r="D74" i="11"/>
  <c r="D58" i="11"/>
  <c r="P45" i="1"/>
  <c r="K42" i="11"/>
  <c r="J58" i="11"/>
  <c r="M8" i="12" s="1"/>
  <c r="N8" i="12" s="1"/>
  <c r="J42" i="11"/>
  <c r="J74" i="11"/>
  <c r="K74" i="11"/>
  <c r="K58" i="11"/>
  <c r="H151" i="6"/>
  <c r="I151" i="6"/>
  <c r="H72" i="6"/>
  <c r="H88" i="11"/>
  <c r="H104" i="11" s="1"/>
  <c r="H120" i="11" s="1"/>
  <c r="K72" i="6"/>
  <c r="J151" i="6"/>
  <c r="K151" i="6"/>
  <c r="D88" i="11"/>
  <c r="D104" i="11" s="1"/>
  <c r="D120" i="11" s="1"/>
  <c r="D149" i="11" s="1"/>
  <c r="E88" i="11"/>
  <c r="E104" i="11" s="1"/>
  <c r="E120" i="11" s="1"/>
  <c r="K88" i="11"/>
  <c r="K104" i="11" s="1"/>
  <c r="K120" i="11" s="1"/>
  <c r="K56" i="6"/>
  <c r="I88" i="11"/>
  <c r="I104" i="11" s="1"/>
  <c r="I120" i="11" s="1"/>
  <c r="F40" i="11"/>
  <c r="G56" i="11"/>
  <c r="G40" i="11"/>
  <c r="G88" i="11" s="1"/>
  <c r="G104" i="11" s="1"/>
  <c r="G120" i="11" s="1"/>
  <c r="F56" i="11"/>
  <c r="I9" i="12" s="1"/>
  <c r="J9" i="12" s="1"/>
  <c r="F72" i="11"/>
  <c r="G72" i="11"/>
  <c r="I150" i="6"/>
  <c r="H150" i="6"/>
  <c r="H71" i="6"/>
  <c r="G39" i="11"/>
  <c r="G55" i="11"/>
  <c r="F39" i="11"/>
  <c r="G71" i="11"/>
  <c r="F55" i="11"/>
  <c r="I7" i="12" s="1"/>
  <c r="J7" i="12" s="1"/>
  <c r="F71" i="11"/>
  <c r="H55" i="6"/>
  <c r="I39" i="6"/>
  <c r="J71" i="6"/>
  <c r="J150" i="6"/>
  <c r="J156" i="6" s="1"/>
  <c r="N10" i="6"/>
  <c r="K150" i="6"/>
  <c r="F39" i="6"/>
  <c r="L10" i="6"/>
  <c r="F71" i="6"/>
  <c r="J87" i="11"/>
  <c r="E39" i="11"/>
  <c r="E87" i="11" s="1"/>
  <c r="E103" i="11" s="1"/>
  <c r="E119" i="11" s="1"/>
  <c r="D39" i="11"/>
  <c r="E55" i="11"/>
  <c r="D71" i="11"/>
  <c r="E71" i="11"/>
  <c r="D55" i="11"/>
  <c r="D35" i="11"/>
  <c r="E35" i="11"/>
  <c r="E51" i="11"/>
  <c r="D51" i="11"/>
  <c r="I4" i="12" s="1"/>
  <c r="J4" i="12" s="1"/>
  <c r="E67" i="11"/>
  <c r="D67" i="11"/>
  <c r="E51" i="6"/>
  <c r="D51" i="6"/>
  <c r="I4" i="10" s="1"/>
  <c r="J4" i="10" s="1"/>
  <c r="D35" i="6"/>
  <c r="C52" i="3" s="1"/>
  <c r="M23" i="6"/>
  <c r="D67" i="6"/>
  <c r="I42" i="6"/>
  <c r="K40" i="6"/>
  <c r="K88" i="6" s="1"/>
  <c r="K104" i="6" s="1"/>
  <c r="K120" i="6" s="1"/>
  <c r="H56" i="6"/>
  <c r="F177" i="6"/>
  <c r="I71" i="6"/>
  <c r="I72" i="6"/>
  <c r="I55" i="6"/>
  <c r="H40" i="6"/>
  <c r="I56" i="6"/>
  <c r="E55" i="6"/>
  <c r="E39" i="6"/>
  <c r="G40" i="6"/>
  <c r="I40" i="6"/>
  <c r="I74" i="6"/>
  <c r="F40" i="6"/>
  <c r="H42" i="6"/>
  <c r="D39" i="6"/>
  <c r="F56" i="6"/>
  <c r="I9" i="10" s="1"/>
  <c r="J9" i="10" s="1"/>
  <c r="H58" i="6"/>
  <c r="I89" i="6"/>
  <c r="I105" i="6" s="1"/>
  <c r="I121" i="6" s="1"/>
  <c r="H91" i="6"/>
  <c r="H107" i="6" s="1"/>
  <c r="H123" i="6" s="1"/>
  <c r="H89" i="6"/>
  <c r="H105" i="6" s="1"/>
  <c r="H121" i="6" s="1"/>
  <c r="M63" i="9"/>
  <c r="L63" i="9"/>
  <c r="H39" i="6"/>
  <c r="J40" i="6"/>
  <c r="I58" i="6"/>
  <c r="P36" i="1"/>
  <c r="P4" i="1"/>
  <c r="F55" i="6"/>
  <c r="G55" i="6"/>
  <c r="I91" i="6"/>
  <c r="I107" i="6" s="1"/>
  <c r="I123" i="6" s="1"/>
  <c r="J72" i="6"/>
  <c r="P43" i="1"/>
  <c r="P40" i="1"/>
  <c r="P47" i="1"/>
  <c r="G61" i="9" s="1"/>
  <c r="J61" i="9" s="1"/>
  <c r="P44" i="1"/>
  <c r="P8" i="1"/>
  <c r="G39" i="6"/>
  <c r="P6" i="1"/>
  <c r="P10" i="1"/>
  <c r="I44" i="6"/>
  <c r="I76" i="6"/>
  <c r="H44" i="6"/>
  <c r="I60" i="6"/>
  <c r="H60" i="6" a="1"/>
  <c r="H60" i="6" s="1"/>
  <c r="D42" i="6"/>
  <c r="E42" i="6"/>
  <c r="E58" i="6"/>
  <c r="D58" i="6"/>
  <c r="E44" i="6"/>
  <c r="E60" i="6"/>
  <c r="D60" i="6"/>
  <c r="D44" i="6"/>
  <c r="E37" i="3"/>
  <c r="K39" i="6"/>
  <c r="K71" i="6"/>
  <c r="J55" i="6"/>
  <c r="J39" i="6"/>
  <c r="K55" i="6"/>
  <c r="G42" i="6"/>
  <c r="G58" i="6"/>
  <c r="F58" i="6"/>
  <c r="I8" i="10" s="1"/>
  <c r="J8" i="10" s="1"/>
  <c r="F42" i="6"/>
  <c r="E40" i="6"/>
  <c r="E56" i="6"/>
  <c r="D40" i="6"/>
  <c r="D56" i="6"/>
  <c r="K42" i="6"/>
  <c r="J74" i="6"/>
  <c r="K74" i="6"/>
  <c r="K58" i="6"/>
  <c r="J58" i="6"/>
  <c r="M8" i="10" s="1"/>
  <c r="N8" i="10" s="1"/>
  <c r="J42" i="6"/>
  <c r="F68" i="6"/>
  <c r="F84" i="6" s="1"/>
  <c r="D73" i="6"/>
  <c r="D89" i="6" s="1"/>
  <c r="D105" i="6" s="1"/>
  <c r="D121" i="6" s="1"/>
  <c r="D166" i="6" s="1"/>
  <c r="F69" i="6"/>
  <c r="F85" i="6" s="1"/>
  <c r="F101" i="6" s="1"/>
  <c r="F117" i="6" s="1"/>
  <c r="D75" i="6"/>
  <c r="D91" i="6" s="1"/>
  <c r="D70" i="6"/>
  <c r="D71" i="6"/>
  <c r="D72" i="6"/>
  <c r="F70" i="6"/>
  <c r="F86" i="6" s="1"/>
  <c r="F102" i="6" s="1"/>
  <c r="F118" i="6" s="1"/>
  <c r="D76" i="6"/>
  <c r="E30" i="3" s="1"/>
  <c r="F74" i="6"/>
  <c r="D77" i="6"/>
  <c r="D93" i="6" s="1"/>
  <c r="F73" i="6"/>
  <c r="F89" i="6" s="1"/>
  <c r="F105" i="6" s="1"/>
  <c r="F121" i="6" s="1"/>
  <c r="D69" i="6"/>
  <c r="D85" i="6" s="1"/>
  <c r="D101" i="6" s="1"/>
  <c r="D117" i="6" s="1"/>
  <c r="D162" i="6" s="1"/>
  <c r="F67" i="6"/>
  <c r="F83" i="6" s="1"/>
  <c r="F99" i="6" s="1"/>
  <c r="F115" i="6" s="1"/>
  <c r="F72" i="6"/>
  <c r="D74" i="6"/>
  <c r="D68" i="6"/>
  <c r="D84" i="6" s="1"/>
  <c r="G70" i="6"/>
  <c r="G86" i="6" s="1"/>
  <c r="G102" i="6" s="1"/>
  <c r="G118" i="6" s="1"/>
  <c r="E68" i="6"/>
  <c r="E84" i="6" s="1"/>
  <c r="E100" i="6" s="1"/>
  <c r="E116" i="6" s="1"/>
  <c r="E161" i="6" s="1"/>
  <c r="E76" i="6"/>
  <c r="G67" i="6"/>
  <c r="G83" i="6" s="1"/>
  <c r="G99" i="6" s="1"/>
  <c r="G115" i="6" s="1"/>
  <c r="G68" i="6"/>
  <c r="G84" i="6" s="1"/>
  <c r="G100" i="6" s="1"/>
  <c r="G116" i="6" s="1"/>
  <c r="E69" i="6"/>
  <c r="E85" i="6" s="1"/>
  <c r="E101" i="6" s="1"/>
  <c r="E117" i="6" s="1"/>
  <c r="E162" i="6" s="1"/>
  <c r="E77" i="6"/>
  <c r="E93" i="6" s="1"/>
  <c r="E109" i="6" s="1"/>
  <c r="E125" i="6" s="1"/>
  <c r="E170" i="6" s="1"/>
  <c r="E156" i="6" s="1"/>
  <c r="G69" i="6"/>
  <c r="G85" i="6" s="1"/>
  <c r="G101" i="6" s="1"/>
  <c r="G117" i="6" s="1"/>
  <c r="E70" i="6"/>
  <c r="E86" i="6" s="1"/>
  <c r="E102" i="6" s="1"/>
  <c r="E118" i="6" s="1"/>
  <c r="E163" i="6" s="1"/>
  <c r="E67" i="6"/>
  <c r="E75" i="6"/>
  <c r="E91" i="6" s="1"/>
  <c r="E107" i="6" s="1"/>
  <c r="E123" i="6" s="1"/>
  <c r="E168" i="6" s="1"/>
  <c r="E154" i="6" s="1"/>
  <c r="G71" i="6"/>
  <c r="E71" i="6"/>
  <c r="G74" i="6"/>
  <c r="G72" i="6"/>
  <c r="E72" i="6"/>
  <c r="G73" i="6"/>
  <c r="G89" i="6" s="1"/>
  <c r="G105" i="6" s="1"/>
  <c r="G121" i="6" s="1"/>
  <c r="E73" i="6"/>
  <c r="E89" i="6" s="1"/>
  <c r="E105" i="6" s="1"/>
  <c r="E121" i="6" s="1"/>
  <c r="E166" i="6" s="1"/>
  <c r="E74" i="6"/>
  <c r="N23" i="6"/>
  <c r="L48" i="1"/>
  <c r="M48" i="1" s="1"/>
  <c r="R48" i="1"/>
  <c r="E12" i="2"/>
  <c r="I7" i="2"/>
  <c r="H7" i="2"/>
  <c r="G7" i="2"/>
  <c r="H12" i="2" s="1"/>
  <c r="I6" i="2"/>
  <c r="H6" i="2"/>
  <c r="G6" i="2"/>
  <c r="G12" i="2" s="1"/>
  <c r="D51" i="1"/>
  <c r="J88" i="11" l="1"/>
  <c r="J104" i="11" s="1"/>
  <c r="J120" i="11" s="1"/>
  <c r="N15" i="12"/>
  <c r="E27" i="12" s="1"/>
  <c r="G148" i="6"/>
  <c r="E148" i="6"/>
  <c r="H88" i="6"/>
  <c r="H104" i="6" s="1"/>
  <c r="H120" i="6" s="1"/>
  <c r="G87" i="11"/>
  <c r="G103" i="11" s="1"/>
  <c r="G119" i="11" s="1"/>
  <c r="D148" i="6"/>
  <c r="F148" i="6"/>
  <c r="J90" i="11"/>
  <c r="E90" i="11"/>
  <c r="E106" i="11" s="1"/>
  <c r="E122" i="11" s="1"/>
  <c r="H89" i="11"/>
  <c r="H105" i="11" s="1"/>
  <c r="H121" i="11" s="1"/>
  <c r="I89" i="11"/>
  <c r="I105" i="11" s="1"/>
  <c r="I121" i="11" s="1"/>
  <c r="G11" i="12"/>
  <c r="H11" i="12" s="1"/>
  <c r="O11" i="12"/>
  <c r="P11" i="12" s="1"/>
  <c r="H107" i="11"/>
  <c r="H123" i="11" s="1"/>
  <c r="K11" i="12"/>
  <c r="L11" i="12" s="1"/>
  <c r="D108" i="11"/>
  <c r="D124" i="11" s="1"/>
  <c r="D153" i="11" s="1"/>
  <c r="O12" i="12" s="1"/>
  <c r="P12" i="12" s="1"/>
  <c r="H92" i="11"/>
  <c r="E92" i="11"/>
  <c r="E108" i="11" s="1"/>
  <c r="E124" i="11" s="1"/>
  <c r="N16" i="6"/>
  <c r="O16" i="6" s="1"/>
  <c r="P16" i="6"/>
  <c r="Q16" i="6" s="1"/>
  <c r="I92" i="11"/>
  <c r="I108" i="11" s="1"/>
  <c r="I124" i="11" s="1"/>
  <c r="G90" i="11"/>
  <c r="G106" i="11" s="1"/>
  <c r="G122" i="11" s="1"/>
  <c r="J106" i="11"/>
  <c r="J122" i="11" s="1"/>
  <c r="K8" i="12"/>
  <c r="L8" i="12" s="1"/>
  <c r="I90" i="11"/>
  <c r="I106" i="11" s="1"/>
  <c r="I122" i="11" s="1"/>
  <c r="H90" i="11"/>
  <c r="H106" i="11" s="1"/>
  <c r="H122" i="11" s="1"/>
  <c r="K90" i="11"/>
  <c r="K106" i="11" s="1"/>
  <c r="K122" i="11" s="1"/>
  <c r="F106" i="11"/>
  <c r="F122" i="11" s="1"/>
  <c r="G8" i="12"/>
  <c r="H8" i="12" s="1"/>
  <c r="E152" i="6"/>
  <c r="G152" i="6"/>
  <c r="D152" i="6"/>
  <c r="F152" i="6"/>
  <c r="K9" i="12"/>
  <c r="L9" i="12" s="1"/>
  <c r="O9" i="12"/>
  <c r="P9" i="12" s="1"/>
  <c r="F88" i="11"/>
  <c r="N12" i="6"/>
  <c r="O12" i="6" s="1"/>
  <c r="P12" i="6"/>
  <c r="Q12" i="6" s="1"/>
  <c r="F87" i="11"/>
  <c r="J15" i="12"/>
  <c r="E26" i="12" s="1"/>
  <c r="J103" i="11"/>
  <c r="J119" i="11" s="1"/>
  <c r="K7" i="12"/>
  <c r="L7" i="12" s="1"/>
  <c r="D87" i="11"/>
  <c r="D103" i="11" s="1"/>
  <c r="D119" i="11" s="1"/>
  <c r="D148" i="11" s="1"/>
  <c r="O7" i="12" s="1"/>
  <c r="P7" i="12" s="1"/>
  <c r="E149" i="6"/>
  <c r="G149" i="6"/>
  <c r="G147" i="6"/>
  <c r="E147" i="6"/>
  <c r="E83" i="11"/>
  <c r="E99" i="11" s="1"/>
  <c r="E115" i="11" s="1"/>
  <c r="D83" i="11"/>
  <c r="I87" i="6"/>
  <c r="I103" i="6" s="1"/>
  <c r="I119" i="6" s="1"/>
  <c r="F88" i="6"/>
  <c r="J137" i="6"/>
  <c r="H137" i="6"/>
  <c r="D137" i="6"/>
  <c r="F137" i="6"/>
  <c r="E141" i="6"/>
  <c r="I141" i="6"/>
  <c r="K133" i="6"/>
  <c r="E133" i="6"/>
  <c r="I133" i="6"/>
  <c r="G133" i="6"/>
  <c r="K134" i="6"/>
  <c r="E134" i="6"/>
  <c r="G134" i="6"/>
  <c r="I134" i="6"/>
  <c r="E87" i="6"/>
  <c r="E103" i="6" s="1"/>
  <c r="E119" i="6" s="1"/>
  <c r="E164" i="6" s="1"/>
  <c r="J133" i="6"/>
  <c r="H133" i="6"/>
  <c r="D133" i="6"/>
  <c r="F133" i="6"/>
  <c r="D87" i="6"/>
  <c r="D103" i="6" s="1"/>
  <c r="D119" i="6" s="1"/>
  <c r="D164" i="6" s="1"/>
  <c r="I139" i="6"/>
  <c r="E139" i="6"/>
  <c r="G137" i="6"/>
  <c r="I137" i="6"/>
  <c r="K137" i="6"/>
  <c r="E137" i="6"/>
  <c r="K132" i="6"/>
  <c r="E132" i="6"/>
  <c r="I132" i="6"/>
  <c r="G132" i="6"/>
  <c r="I88" i="6"/>
  <c r="I104" i="6" s="1"/>
  <c r="I120" i="6" s="1"/>
  <c r="H87" i="6"/>
  <c r="H103" i="6" s="1"/>
  <c r="H119" i="6" s="1"/>
  <c r="I90" i="6"/>
  <c r="I106" i="6" s="1"/>
  <c r="I122" i="6" s="1"/>
  <c r="G88" i="6"/>
  <c r="G104" i="6" s="1"/>
  <c r="G120" i="6" s="1"/>
  <c r="C53" i="3"/>
  <c r="J88" i="6"/>
  <c r="J104" i="6" s="1"/>
  <c r="J120" i="6" s="1"/>
  <c r="D29" i="3"/>
  <c r="D81" i="3" s="1"/>
  <c r="D85" i="3" s="1"/>
  <c r="H90" i="6"/>
  <c r="H106" i="6" s="1"/>
  <c r="H122" i="6" s="1"/>
  <c r="C29" i="3"/>
  <c r="C81" i="3" s="1"/>
  <c r="C85" i="3" s="1"/>
  <c r="G87" i="6"/>
  <c r="G103" i="6" s="1"/>
  <c r="G119" i="6" s="1"/>
  <c r="C59" i="3"/>
  <c r="I7" i="10"/>
  <c r="J7" i="10" s="1"/>
  <c r="F104" i="6"/>
  <c r="F120" i="6" s="1"/>
  <c r="J90" i="6"/>
  <c r="K87" i="6"/>
  <c r="K103" i="6" s="1"/>
  <c r="K119" i="6" s="1"/>
  <c r="C66" i="3"/>
  <c r="C37" i="3"/>
  <c r="D86" i="6"/>
  <c r="D102" i="6" s="1"/>
  <c r="D118" i="6" s="1"/>
  <c r="D163" i="6" s="1"/>
  <c r="E28" i="3"/>
  <c r="F28" i="3" s="1"/>
  <c r="C60" i="3"/>
  <c r="C54" i="3"/>
  <c r="C55" i="3" s="1"/>
  <c r="C30" i="3"/>
  <c r="C65" i="3"/>
  <c r="E36" i="3"/>
  <c r="I12" i="10"/>
  <c r="J12" i="10" s="1"/>
  <c r="G26" i="10" s="1"/>
  <c r="D30" i="3"/>
  <c r="P48" i="1"/>
  <c r="M12" i="10"/>
  <c r="N12" i="10" s="1"/>
  <c r="D37" i="3"/>
  <c r="L61" i="9"/>
  <c r="M61" i="9"/>
  <c r="D36" i="3"/>
  <c r="M7" i="10"/>
  <c r="N7" i="10" s="1"/>
  <c r="F100" i="6"/>
  <c r="F116" i="6" s="1"/>
  <c r="J87" i="6"/>
  <c r="J103" i="6" s="1"/>
  <c r="J119" i="6" s="1"/>
  <c r="C36" i="3"/>
  <c r="E92" i="6"/>
  <c r="E108" i="6" s="1"/>
  <c r="E124" i="6" s="1"/>
  <c r="E169" i="6" s="1"/>
  <c r="E155" i="6" s="1"/>
  <c r="F87" i="6"/>
  <c r="F103" i="6" s="1"/>
  <c r="F119" i="6" s="1"/>
  <c r="E29" i="3"/>
  <c r="D100" i="6"/>
  <c r="D116" i="6" s="1"/>
  <c r="D161" i="6" s="1"/>
  <c r="D109" i="6"/>
  <c r="D125" i="6" s="1"/>
  <c r="D170" i="6" s="1"/>
  <c r="D156" i="6" s="1"/>
  <c r="D107" i="6"/>
  <c r="D123" i="6" s="1"/>
  <c r="D168" i="6" s="1"/>
  <c r="D154" i="6" s="1"/>
  <c r="F90" i="6"/>
  <c r="E90" i="6"/>
  <c r="E106" i="6" s="1"/>
  <c r="E122" i="6" s="1"/>
  <c r="E167" i="6" s="1"/>
  <c r="K90" i="6"/>
  <c r="K106" i="6" s="1"/>
  <c r="K122" i="6" s="1"/>
  <c r="D88" i="6"/>
  <c r="G90" i="6"/>
  <c r="G106" i="6" s="1"/>
  <c r="G122" i="6" s="1"/>
  <c r="D92" i="6"/>
  <c r="D90" i="6"/>
  <c r="H92" i="6"/>
  <c r="H108" i="6" s="1"/>
  <c r="H124" i="6" s="1"/>
  <c r="E88" i="6"/>
  <c r="E104" i="6" s="1"/>
  <c r="E120" i="6" s="1"/>
  <c r="E165" i="6" s="1"/>
  <c r="I92" i="6"/>
  <c r="I108" i="6" s="1"/>
  <c r="I124" i="6" s="1"/>
  <c r="E83" i="6"/>
  <c r="E99" i="6" s="1"/>
  <c r="E115" i="6" s="1"/>
  <c r="E160" i="6" s="1"/>
  <c r="G146" i="6" s="1"/>
  <c r="D83" i="6"/>
  <c r="L51" i="1"/>
  <c r="M51" i="1" s="1"/>
  <c r="R51" i="1"/>
  <c r="L41" i="1"/>
  <c r="L31" i="1"/>
  <c r="L29" i="1"/>
  <c r="L11" i="1"/>
  <c r="L15" i="1"/>
  <c r="L74" i="1"/>
  <c r="L75" i="1"/>
  <c r="L73" i="1"/>
  <c r="L76" i="1"/>
  <c r="L77" i="1"/>
  <c r="L21" i="1"/>
  <c r="L19" i="1"/>
  <c r="L13" i="1"/>
  <c r="L23" i="1"/>
  <c r="L25" i="1"/>
  <c r="L27" i="1"/>
  <c r="D9" i="1"/>
  <c r="E9" i="1"/>
  <c r="AT9" i="1" s="1"/>
  <c r="D3" i="1"/>
  <c r="E3" i="1"/>
  <c r="AT3" i="1" s="1"/>
  <c r="E35" i="1"/>
  <c r="AT35" i="1" s="1"/>
  <c r="D35" i="1"/>
  <c r="E39" i="1"/>
  <c r="AT39" i="1" s="1"/>
  <c r="D39" i="1"/>
  <c r="E37" i="1"/>
  <c r="AT37" i="1" s="1"/>
  <c r="R37" i="1"/>
  <c r="D50" i="1"/>
  <c r="L33" i="1"/>
  <c r="AU35" i="1" l="1"/>
  <c r="BA35" i="1"/>
  <c r="AU39" i="1"/>
  <c r="BA39" i="1"/>
  <c r="AU3" i="1"/>
  <c r="BA3" i="1"/>
  <c r="H108" i="11"/>
  <c r="H124" i="11" s="1"/>
  <c r="K12" i="12"/>
  <c r="L12" i="12" s="1"/>
  <c r="G12" i="12"/>
  <c r="H12" i="12" s="1"/>
  <c r="G153" i="6"/>
  <c r="E153" i="6"/>
  <c r="AU37" i="1"/>
  <c r="BA37" i="1"/>
  <c r="F104" i="11"/>
  <c r="F120" i="11" s="1"/>
  <c r="G9" i="12"/>
  <c r="H9" i="12" s="1"/>
  <c r="G151" i="6"/>
  <c r="E151" i="6"/>
  <c r="G150" i="6"/>
  <c r="E150" i="6"/>
  <c r="F150" i="6"/>
  <c r="D150" i="6"/>
  <c r="G7" i="12"/>
  <c r="H7" i="12" s="1"/>
  <c r="F103" i="11"/>
  <c r="F119" i="11" s="1"/>
  <c r="D149" i="6"/>
  <c r="F149" i="6"/>
  <c r="F134" i="6"/>
  <c r="K3" i="10"/>
  <c r="F147" i="6"/>
  <c r="D147" i="6"/>
  <c r="AU9" i="1"/>
  <c r="BA9" i="1"/>
  <c r="D99" i="11"/>
  <c r="D115" i="11" s="1"/>
  <c r="D144" i="11" s="1"/>
  <c r="G4" i="12" s="1"/>
  <c r="H4" i="12" s="1"/>
  <c r="G136" i="6"/>
  <c r="K136" i="6"/>
  <c r="I136" i="6"/>
  <c r="E136" i="6"/>
  <c r="I140" i="6"/>
  <c r="E140" i="6"/>
  <c r="H139" i="6"/>
  <c r="D139" i="6"/>
  <c r="J15" i="10"/>
  <c r="E26" i="10" s="1"/>
  <c r="H141" i="6"/>
  <c r="D141" i="6"/>
  <c r="K135" i="6"/>
  <c r="G135" i="6"/>
  <c r="I135" i="6"/>
  <c r="E135" i="6"/>
  <c r="M131" i="6"/>
  <c r="I131" i="6"/>
  <c r="G131" i="6"/>
  <c r="E131" i="6"/>
  <c r="K131" i="6"/>
  <c r="J135" i="6"/>
  <c r="H135" i="6"/>
  <c r="D135" i="6"/>
  <c r="F135" i="6"/>
  <c r="J134" i="6"/>
  <c r="H134" i="6"/>
  <c r="D134" i="6"/>
  <c r="E138" i="6"/>
  <c r="G138" i="6"/>
  <c r="I138" i="6"/>
  <c r="K138" i="6"/>
  <c r="F132" i="6"/>
  <c r="J132" i="6"/>
  <c r="H132" i="6"/>
  <c r="D132" i="6"/>
  <c r="F29" i="3"/>
  <c r="G11" i="10"/>
  <c r="H11" i="10" s="1"/>
  <c r="G13" i="10"/>
  <c r="H13" i="10" s="1"/>
  <c r="G3" i="10"/>
  <c r="H3" i="10" s="1"/>
  <c r="E176" i="6"/>
  <c r="E146" i="6"/>
  <c r="D31" i="3"/>
  <c r="C61" i="3"/>
  <c r="C31" i="3"/>
  <c r="N15" i="10"/>
  <c r="E27" i="10" s="1"/>
  <c r="F37" i="3"/>
  <c r="O5" i="10"/>
  <c r="P5" i="10" s="1"/>
  <c r="K5" i="10"/>
  <c r="L5" i="10" s="1"/>
  <c r="M15" i="1"/>
  <c r="P15" i="1"/>
  <c r="M33" i="1"/>
  <c r="P33" i="1"/>
  <c r="M19" i="1"/>
  <c r="P19" i="1"/>
  <c r="M11" i="1"/>
  <c r="P11" i="1"/>
  <c r="G54" i="9" s="1"/>
  <c r="J54" i="9" s="1"/>
  <c r="G5" i="10"/>
  <c r="H5" i="10" s="1"/>
  <c r="M13" i="1"/>
  <c r="P13" i="1"/>
  <c r="M21" i="1"/>
  <c r="P21" i="1"/>
  <c r="G55" i="9" s="1"/>
  <c r="J55" i="9" s="1"/>
  <c r="P51" i="1"/>
  <c r="F30" i="3"/>
  <c r="M23" i="1"/>
  <c r="P23" i="1"/>
  <c r="G56" i="9" s="1"/>
  <c r="J56" i="9" s="1"/>
  <c r="M29" i="1"/>
  <c r="P29" i="1"/>
  <c r="G57" i="9" s="1"/>
  <c r="J57" i="9" s="1"/>
  <c r="F106" i="6"/>
  <c r="F122" i="6" s="1"/>
  <c r="M41" i="1"/>
  <c r="P41" i="1"/>
  <c r="G60" i="9" s="1"/>
  <c r="J60" i="9" s="1"/>
  <c r="C82" i="3"/>
  <c r="C86" i="3" s="1"/>
  <c r="F36" i="3"/>
  <c r="C38" i="3"/>
  <c r="J106" i="6"/>
  <c r="J122" i="6" s="1"/>
  <c r="M31" i="1"/>
  <c r="P31" i="1"/>
  <c r="L9" i="1"/>
  <c r="M9" i="1" s="1"/>
  <c r="R39" i="1"/>
  <c r="M27" i="1"/>
  <c r="P27" i="1"/>
  <c r="D82" i="3"/>
  <c r="D86" i="3" s="1"/>
  <c r="D38" i="3"/>
  <c r="E82" i="3"/>
  <c r="E86" i="3" s="1"/>
  <c r="E38" i="3"/>
  <c r="M25" i="1"/>
  <c r="P25" i="1"/>
  <c r="E81" i="3"/>
  <c r="E85" i="3" s="1"/>
  <c r="E31" i="3"/>
  <c r="G7" i="10"/>
  <c r="H7" i="10" s="1"/>
  <c r="O7" i="10"/>
  <c r="P7" i="10" s="1"/>
  <c r="K7" i="10"/>
  <c r="L7" i="10" s="1"/>
  <c r="D108" i="6"/>
  <c r="D124" i="6" s="1"/>
  <c r="D169" i="6" s="1"/>
  <c r="D155" i="6" s="1"/>
  <c r="K13" i="10"/>
  <c r="L13" i="10" s="1"/>
  <c r="O13" i="10"/>
  <c r="P13" i="10" s="1"/>
  <c r="L3" i="10"/>
  <c r="O3" i="10"/>
  <c r="P3" i="10" s="1"/>
  <c r="D99" i="6"/>
  <c r="D115" i="6" s="1"/>
  <c r="D160" i="6" s="1"/>
  <c r="D104" i="6"/>
  <c r="D120" i="6" s="1"/>
  <c r="D165" i="6" s="1"/>
  <c r="D106" i="6"/>
  <c r="D122" i="6" s="1"/>
  <c r="D167" i="6" s="1"/>
  <c r="O11" i="10"/>
  <c r="P11" i="10" s="1"/>
  <c r="K11" i="10"/>
  <c r="L11" i="10" s="1"/>
  <c r="L3" i="1"/>
  <c r="L35" i="1"/>
  <c r="M35" i="1" s="1"/>
  <c r="R35" i="1"/>
  <c r="L50" i="1"/>
  <c r="M50" i="1" s="1"/>
  <c r="R50" i="1"/>
  <c r="L39" i="1"/>
  <c r="M39" i="1" s="1"/>
  <c r="L37" i="1"/>
  <c r="D49" i="1"/>
  <c r="E7" i="1"/>
  <c r="AT7" i="1" s="1"/>
  <c r="D7" i="1"/>
  <c r="M3" i="1" l="1"/>
  <c r="D130" i="11"/>
  <c r="H15" i="12"/>
  <c r="D26" i="12" s="1"/>
  <c r="D153" i="6"/>
  <c r="F153" i="6"/>
  <c r="D151" i="6"/>
  <c r="F151" i="6"/>
  <c r="F156" i="6" s="1"/>
  <c r="F176" i="6"/>
  <c r="D131" i="6"/>
  <c r="D146" i="6"/>
  <c r="F146" i="6"/>
  <c r="O4" i="12"/>
  <c r="P4" i="12" s="1"/>
  <c r="P15" i="12" s="1"/>
  <c r="D28" i="12" s="1"/>
  <c r="K4" i="12"/>
  <c r="L4" i="12" s="1"/>
  <c r="L15" i="12" s="1"/>
  <c r="D27" i="12" s="1"/>
  <c r="AU7" i="1"/>
  <c r="BA7" i="1"/>
  <c r="P9" i="1"/>
  <c r="G177" i="6"/>
  <c r="G178" i="6"/>
  <c r="H140" i="6"/>
  <c r="D140" i="6"/>
  <c r="D136" i="6"/>
  <c r="J136" i="6"/>
  <c r="H136" i="6"/>
  <c r="F136" i="6"/>
  <c r="F138" i="6"/>
  <c r="H138" i="6"/>
  <c r="D138" i="6"/>
  <c r="J138" i="6"/>
  <c r="O4" i="10"/>
  <c r="P4" i="10" s="1"/>
  <c r="P20" i="10" s="1"/>
  <c r="G12" i="10"/>
  <c r="H12" i="10" s="1"/>
  <c r="G176" i="6"/>
  <c r="K8" i="10"/>
  <c r="L8" i="10" s="1"/>
  <c r="L57" i="9"/>
  <c r="M57" i="9"/>
  <c r="P35" i="1"/>
  <c r="G58" i="9" s="1"/>
  <c r="J58" i="9" s="1"/>
  <c r="P3" i="1"/>
  <c r="G53" i="9" s="1"/>
  <c r="J53" i="9" s="1"/>
  <c r="O9" i="10"/>
  <c r="P9" i="10" s="1"/>
  <c r="G9" i="10"/>
  <c r="H9" i="10" s="1"/>
  <c r="K9" i="10"/>
  <c r="L9" i="10" s="1"/>
  <c r="L60" i="9"/>
  <c r="M60" i="9"/>
  <c r="L56" i="9"/>
  <c r="M56" i="9"/>
  <c r="L54" i="9"/>
  <c r="M54" i="9"/>
  <c r="O8" i="10"/>
  <c r="P8" i="10" s="1"/>
  <c r="L7" i="1"/>
  <c r="M7" i="1" s="1"/>
  <c r="G8" i="10"/>
  <c r="H8" i="10" s="1"/>
  <c r="L55" i="9"/>
  <c r="M55" i="9"/>
  <c r="L49" i="1"/>
  <c r="M49" i="1" s="1"/>
  <c r="M37" i="1"/>
  <c r="P37" i="1"/>
  <c r="P39" i="1"/>
  <c r="G59" i="9" s="1"/>
  <c r="J59" i="9" s="1"/>
  <c r="P50" i="1"/>
  <c r="O12" i="10"/>
  <c r="P12" i="10" s="1"/>
  <c r="K12" i="10"/>
  <c r="L12" i="10" s="1"/>
  <c r="P49" i="1" l="1"/>
  <c r="G62" i="9" s="1"/>
  <c r="J62" i="9" s="1"/>
  <c r="P7" i="1"/>
  <c r="F131" i="6"/>
  <c r="L131" i="6"/>
  <c r="J131" i="6"/>
  <c r="H131" i="6"/>
  <c r="K4" i="10"/>
  <c r="L4" i="10" s="1"/>
  <c r="G4" i="10"/>
  <c r="H4" i="10" s="1"/>
  <c r="H15" i="10" s="1"/>
  <c r="D26" i="10" s="1"/>
  <c r="M62" i="9"/>
  <c r="L62" i="9"/>
  <c r="M53" i="9"/>
  <c r="L53" i="9"/>
  <c r="L59" i="9"/>
  <c r="M59" i="9"/>
  <c r="M58" i="9"/>
  <c r="L58" i="9"/>
  <c r="P15" i="10"/>
  <c r="L15" i="10" l="1"/>
  <c r="D27" i="10" s="1"/>
  <c r="L20" i="10"/>
  <c r="D28" i="10"/>
  <c r="P17" i="10"/>
  <c r="L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tc={6A39A782-AB56-4FF9-9736-7319D093C823}</author>
    <author>tc={C9255AEC-6838-411C-8727-9E720839B07F}</author>
  </authors>
  <commentList>
    <comment ref="F11" authorId="0" shapeId="0" xr:uid="{00000000-0006-0000-0000-00000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That seems to be a lot of people?</t>
      </text>
    </comment>
    <comment ref="I37" authorId="1" shapeId="0" xr:uid="{00000000-0006-0000-0000-00000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Assumption: Enter room at the same time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tc={1A652E4B-0851-40A4-B489-87D06849E895}</author>
    <author>tc={4C933B95-47A2-403A-AC08-71A214FADFEE}</author>
    <author>tc={8A1DC46B-1118-4B58-880B-A28B4D13C254}</author>
  </authors>
  <commentList>
    <comment ref="G7" authorId="0" shapeId="0" xr:uid="{00000000-0006-0000-0500-00000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Aktuell kostet die kWh in Deutschland fast 40Cent im durchschnitt
In der Schweiz 30Rappen</t>
      </text>
    </comment>
    <comment ref="B13" authorId="1" shapeId="0" xr:uid="{00000000-0006-0000-0500-00000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Vermutlich sollten wir hier mit den Stunden noch hoch gehen oder?</t>
      </text>
    </comment>
    <comment ref="B14" authorId="2" shapeId="0" xr:uid="{00000000-0006-0000-0500-00000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 den Assumptions bin ich von Di &amp; Mi 3h Do-Sa 6h ausgegangen 
das wären dann 528 wie im Beispiel drüber...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<sst xmlns="http://schemas.openxmlformats.org/spreadsheetml/2006/main" count="1697" uniqueCount="514">
  <si>
    <t>Caimira input variables</t>
  </si>
  <si>
    <t>Frequency/week normal winter high activity</t>
  </si>
  <si>
    <t>Frequency/week normal winter low activity</t>
  </si>
  <si>
    <t>Frequency/week pandemic peak high activity</t>
  </si>
  <si>
    <t>Frequency/week pandemic peak low activity</t>
  </si>
  <si>
    <t>Frequency/week severe pandemic high activity</t>
  </si>
  <si>
    <t>Frequency/week severe pandemic low activity</t>
  </si>
  <si>
    <t>wo farUVC</t>
  </si>
  <si>
    <t>Result/a 
normal winter high activity</t>
  </si>
  <si>
    <t>Result/a 
normal winter low activity</t>
  </si>
  <si>
    <t>Result/a 
pandemic peak high activity</t>
  </si>
  <si>
    <t>Result/a 
pandemic peak low activity</t>
  </si>
  <si>
    <t>Result/a 
severe pandemic high activity</t>
  </si>
  <si>
    <t>Result/a 
severe pandemic low activity</t>
  </si>
  <si>
    <t>wo farUVC 
wo ventilation but with HEPA</t>
  </si>
  <si>
    <t>wo farUVC but with HEPA</t>
  </si>
  <si>
    <t>wo all</t>
  </si>
  <si>
    <t>wo vent but with farUVC</t>
  </si>
  <si>
    <t>wo vent but with farUVC*10</t>
  </si>
  <si>
    <t>Result wo vent</t>
  </si>
  <si>
    <t>Exposure</t>
  </si>
  <si>
    <t>Costs HEPA</t>
  </si>
  <si>
    <t>Costs farUVC</t>
  </si>
  <si>
    <t>Setting</t>
  </si>
  <si>
    <t>Scenario</t>
  </si>
  <si>
    <t>Author</t>
  </si>
  <si>
    <t>Room volume [m^3]</t>
  </si>
  <si>
    <t>Room area [m^2]</t>
  </si>
  <si>
    <t>Occupants</t>
  </si>
  <si>
    <t>Duration</t>
  </si>
  <si>
    <t>Infected</t>
  </si>
  <si>
    <t>Ventilation [ACH]</t>
  </si>
  <si>
    <t># far-UVC lamps</t>
  </si>
  <si>
    <t>ACH from far-UVC</t>
  </si>
  <si>
    <t>ACH from far-UVC*10</t>
  </si>
  <si>
    <t>HEPA (&gt;5ACH)</t>
  </si>
  <si>
    <t>#HEPA Filter at 430 m^3/h</t>
  </si>
  <si>
    <t>#HEPA Filter for &gt;= ACH from far-UVC</t>
  </si>
  <si>
    <t xml:space="preserve">Activity type </t>
  </si>
  <si>
    <t>Comments/ACH acc to guideline</t>
  </si>
  <si>
    <t>Asumptions</t>
  </si>
  <si>
    <t>Bin.-Vert.</t>
  </si>
  <si>
    <t>mJ/cm^2 in 1h</t>
  </si>
  <si>
    <t>mJ/cm^2 in 8h</t>
  </si>
  <si>
    <t>700$/unit, lasts 3-5a</t>
  </si>
  <si>
    <t xml:space="preserve">1500$/unit </t>
  </si>
  <si>
    <t>500$ per excimer lamp, once per year</t>
  </si>
  <si>
    <t>Restaurant /Bar</t>
  </si>
  <si>
    <t>Irish pub Saturday night</t>
  </si>
  <si>
    <t>Sabine</t>
  </si>
  <si>
    <t>3h</t>
  </si>
  <si>
    <t>Laboratory</t>
  </si>
  <si>
    <t>mainly 18-40s</t>
  </si>
  <si>
    <t xml:space="preserve">Di-Mi low
Do-Sa 1 full shift 
1 low shift </t>
  </si>
  <si>
    <t>Workshop</t>
  </si>
  <si>
    <t xml:space="preserve">-&gt; 410 </t>
  </si>
  <si>
    <t>3 h</t>
  </si>
  <si>
    <t>davon 16/4/8 Krank</t>
  </si>
  <si>
    <t>fast food restaurant</t>
  </si>
  <si>
    <t>Stefan</t>
  </si>
  <si>
    <t>1 h</t>
  </si>
  <si>
    <t>Control Room (day shift) </t>
  </si>
  <si>
    <t>Mo-So 
8h a day</t>
  </si>
  <si>
    <t>110 pro Stunde</t>
  </si>
  <si>
    <t>-&gt; 6160</t>
  </si>
  <si>
    <t>240/60/120 krank</t>
  </si>
  <si>
    <t>30 min</t>
  </si>
  <si>
    <t>15min</t>
  </si>
  <si>
    <t>15 min</t>
  </si>
  <si>
    <t>Queue in front of the cash desk</t>
  </si>
  <si>
    <t>Mo-So 
1h Mittag 2h Abend</t>
  </si>
  <si>
    <t>1680 -&gt;  64/16/32</t>
  </si>
  <si>
    <t>medium restaurant</t>
  </si>
  <si>
    <t>Bianca</t>
  </si>
  <si>
    <t>2 h</t>
  </si>
  <si>
    <t>Office</t>
  </si>
  <si>
    <t>Di-So 
Mittag &amp; Abend</t>
  </si>
  <si>
    <t>768 -&gt; 30/7/15</t>
  </si>
  <si>
    <t>mainly 18-70s</t>
  </si>
  <si>
    <t>Doctors Office</t>
  </si>
  <si>
    <t>Waiting room</t>
  </si>
  <si>
    <t>5</t>
  </si>
  <si>
    <t>Mo-Fr 
4h Vormittag
3x  4h Nachm</t>
  </si>
  <si>
    <t>Control Room (night shift) </t>
  </si>
  <si>
    <t>32h 50% voll 50% leerer</t>
  </si>
  <si>
    <t>10</t>
  </si>
  <si>
    <t>1h</t>
  </si>
  <si>
    <t>240 -&gt; 10/3/5</t>
  </si>
  <si>
    <t>alternatively we could use 1/4/8 as split for 0,12 incidence</t>
  </si>
  <si>
    <t>Hospital</t>
  </si>
  <si>
    <t>Waiting room Neuro Göppingen</t>
  </si>
  <si>
    <t>30min</t>
  </si>
  <si>
    <t xml:space="preserve">Mo-Fr 8h </t>
  </si>
  <si>
    <t>400 -&gt; 16/4/8</t>
  </si>
  <si>
    <t>2h</t>
  </si>
  <si>
    <t xml:space="preserve">30min </t>
  </si>
  <si>
    <t>Waiting room Neuro Dortmund</t>
  </si>
  <si>
    <t>480 -&gt; 20/5/10</t>
  </si>
  <si>
    <t>Notfall Warteraum Thun</t>
  </si>
  <si>
    <t>Laurent</t>
  </si>
  <si>
    <t>Mo-So 8h</t>
  </si>
  <si>
    <t>50% viel los 
50% wenig los</t>
  </si>
  <si>
    <t>392 -&gt; 16/4/8</t>
  </si>
  <si>
    <t>Frankfurt 5.17</t>
  </si>
  <si>
    <t>8h</t>
  </si>
  <si>
    <t>Office </t>
  </si>
  <si>
    <t>mainly 18-40s, d-fine Büro</t>
  </si>
  <si>
    <t>4h</t>
  </si>
  <si>
    <t>15 -&gt; 0.6/0.2/0.3</t>
  </si>
  <si>
    <t>Frankfurt 5.08</t>
  </si>
  <si>
    <t>Mo-Fr 8h 
4 Tage voll</t>
  </si>
  <si>
    <t>95 -&gt; 4/1/2</t>
  </si>
  <si>
    <t>Frankfurt 5.16</t>
  </si>
  <si>
    <t>Mo-Fr 8h
40 -&gt; 1.6/0.4/0.8</t>
  </si>
  <si>
    <t>General assumptions</t>
  </si>
  <si>
    <t>community incidence rate all resp. Diseases GER</t>
  </si>
  <si>
    <t>lenght of normal winter</t>
  </si>
  <si>
    <t>only applied to winter months (month=january)</t>
  </si>
  <si>
    <t>Robert-Koch-Institut</t>
  </si>
  <si>
    <t>weeks</t>
  </si>
  <si>
    <t>climate like in Geneva</t>
  </si>
  <si>
    <t>community incidence rate omicron peak</t>
  </si>
  <si>
    <t>length of pandemic peak scenario</t>
  </si>
  <si>
    <t>central heating on</t>
  </si>
  <si>
    <t>Our World in Data</t>
  </si>
  <si>
    <t>Covid Omicron wave in Europe (our World in Data)</t>
  </si>
  <si>
    <t>omicron</t>
  </si>
  <si>
    <t>length of severe pandemic scenario</t>
  </si>
  <si>
    <t>activity type office, workshop, control room</t>
  </si>
  <si>
    <t>duration of infectiousness</t>
  </si>
  <si>
    <t>ACH from #far-UVC lamps calculated as:</t>
  </si>
  <si>
    <t>disinfection time (s) = 1046 mJ * room volume / power of lamps</t>
  </si>
  <si>
    <t>ACH = 3600 s / disinf. time</t>
  </si>
  <si>
    <t>days</t>
  </si>
  <si>
    <t>1 lamp = 110 mW</t>
  </si>
  <si>
    <t>ASHRAE Standard 62.1,14 for a ventilation rate of 7.5 L/s per person</t>
  </si>
  <si>
    <t>im klinischen Wartezimmer Empfehlung 30m3/h pro Person</t>
  </si>
  <si>
    <t>DIN1946/2</t>
  </si>
  <si>
    <t xml:space="preserve">HEPA filtration </t>
  </si>
  <si>
    <t>430m^3/h</t>
  </si>
  <si>
    <t>GYM</t>
  </si>
  <si>
    <t>Equipment Area</t>
  </si>
  <si>
    <t>Cardio Area</t>
  </si>
  <si>
    <t>Locker rooms</t>
  </si>
  <si>
    <t>Train</t>
  </si>
  <si>
    <t>ICE 4 carriage</t>
  </si>
  <si>
    <t>4 h</t>
  </si>
  <si>
    <t>Benefit Calculation</t>
  </si>
  <si>
    <t>health care costs</t>
  </si>
  <si>
    <t>work related costs</t>
  </si>
  <si>
    <t>Hospitalisation</t>
  </si>
  <si>
    <t>Intensive care</t>
  </si>
  <si>
    <t>LongCovid</t>
  </si>
  <si>
    <t>2 w not working</t>
  </si>
  <si>
    <t>2w in hospital</t>
  </si>
  <si>
    <t>84 d not working due to LC</t>
  </si>
  <si>
    <t>CHF</t>
  </si>
  <si>
    <t>Long Covid</t>
  </si>
  <si>
    <t>€</t>
  </si>
  <si>
    <t>11 % Hospitalisation rate GER</t>
  </si>
  <si>
    <t>age-dependency?</t>
  </si>
  <si>
    <t>13,6 % Hospitalisation rate CH</t>
  </si>
  <si>
    <t>#avoided infections</t>
  </si>
  <si>
    <t>Benefits health care system</t>
  </si>
  <si>
    <t>Benefits national economy</t>
  </si>
  <si>
    <t>Quellen</t>
  </si>
  <si>
    <t>Restaurant</t>
  </si>
  <si>
    <t>Hospitalisation GER</t>
  </si>
  <si>
    <t>Was kostet Corona das Gesundheitswesen? (aerztezeitung.de)</t>
  </si>
  <si>
    <t>Cost LC, sick days GER</t>
  </si>
  <si>
    <t>Long COVID: Costs for the German economy and health care and pension system | BMC Health Services Research | Full Text (biomedcentral.com)</t>
  </si>
  <si>
    <t>Assumptions CH (hospitalisation, intensive care, costs, sick days, LC)</t>
  </si>
  <si>
    <t>Frühwarnsystem gegen Pandemien spart bis zu 30 Milliarden Franken (pourdemain.ch)</t>
  </si>
  <si>
    <t>Frequency of scenarios, incidence rates</t>
  </si>
  <si>
    <t>https://www.rki.de/DE/Content/Infekt/Sentinel/Grippeweb/grippeweb_ergebnisse_node.html#doc15368638bodyText4</t>
  </si>
  <si>
    <t>Dimension of Interest</t>
  </si>
  <si>
    <t>Quantity</t>
  </si>
  <si>
    <t>Source</t>
  </si>
  <si>
    <t>Covid-like pandemic</t>
  </si>
  <si>
    <t>https://www.ncbi.nlm.nih.gov/pmc/articles/PMC9792933/   -  35% asymptomatic
https://pubmed.ncbi.nlm.nih.gov/36263615/   - 28 % asymptomatisch
https://bmjopen.bmj.com/content/11/12/e049752    - 24%</t>
  </si>
  <si>
    <t>https://www.ncbi.nlm.nih.gov/pmc/articles/PMC9990879/
file:///C:/Users/d92633/Downloads/ijerph-19-16010.pdf
Assumption: not all Long-Covid Symptons actually 'cost' anything</t>
  </si>
  <si>
    <t>Hospitalisation rate overall</t>
  </si>
  <si>
    <t>RKI - Coronavirus SARS-CoV-2 - Epidemiologischer Steckbrief zu SARS-CoV-2 und COVID-19</t>
  </si>
  <si>
    <t>Hospitalisation rate 18-59y</t>
  </si>
  <si>
    <t>RKI - Coronavirus SARS-CoV-2 - COVID-19-Fälle nach Meldewoche und Geschlecht sowie Anteile mit für COVID-19 relevanten Symptomen, Anteile Hospitalisierter/Verstorbener und Altersmittelwert/-median</t>
  </si>
  <si>
    <t>https://academic.oup.com/cid/article/72/5/e162/6017811</t>
  </si>
  <si>
    <t>Mortality Covid overall</t>
  </si>
  <si>
    <t xml:space="preserve"> (ungeimpft am Anfang) 0.5% am Ende</t>
  </si>
  <si>
    <t>https://coronavirus.jhu.edu/data/mortality
Deutschland: 0.4%
Schweiz: 0.3 %
https://ourworldindata.org/mortality-risk-covid
much higher risks at the beginning of the Pandemic
https://www.ncbi.nlm.nih.gov/pmc/articles/PMC9874414/
https://www.worldometers.info/coronavirus/country/germany/</t>
  </si>
  <si>
    <t>Mortality covid 18-59y</t>
  </si>
  <si>
    <t>&lt;0.1%</t>
  </si>
  <si>
    <t>https://www.ncbi.nlm.nih.gov/pmc/articles/PMC7755064/
https://www.ncbi.nlm.nih.gov/pmc/articles/PMC8611321/
https://www.statista.com/statistics/1105512/coronavirus-covid-19-deaths-by-gender-germany/
https://www.pnas.org/doi/full/10.1073/pnas.2006392117</t>
  </si>
  <si>
    <t>Cost of hospitalisation GER</t>
  </si>
  <si>
    <t>Cost of hospitalisation CH</t>
  </si>
  <si>
    <t>Cost of disability case for healthcare GER</t>
  </si>
  <si>
    <t>Cost of disability case for healthcare CH</t>
  </si>
  <si>
    <t>Sick days per symptomatic Covid infection</t>
  </si>
  <si>
    <t>Sick days per Covid hospitalisation</t>
  </si>
  <si>
    <t>https://www.ncbi.nlm.nih.gov/pmc/articles/PMC10404051/#:~:text=The%20mean%20length%20of%20hospital,more%20severe%20condition%20than%20survivors.
https://bmcinfectdis.biomedcentral.com/articles/10.1186/s12879-022-07971-6
https://www.sciencedirect.com/science/article/pii/S1876034122001563
Average hospital stay: 10+-10 add some days before and after for recovery</t>
  </si>
  <si>
    <t>Sick days per Long Covid case</t>
  </si>
  <si>
    <t>Loss of productivity per sick day GER</t>
  </si>
  <si>
    <t>Absenteeism and associated labour costs according to depressive symptom severity in the German general population: why preventive strategies matter - PMC (nih.gov)</t>
  </si>
  <si>
    <t>Loss of productivity per sick day CH</t>
  </si>
  <si>
    <t>QALYs lost per death due to covid</t>
  </si>
  <si>
    <t>NERA Study https://raeng.org.uk/media/fupdixju/nera-social-cost-benefit-analysis.pdf</t>
  </si>
  <si>
    <t>https://www.pnas.org/doi/full/10.1073/pnas.2006392117</t>
  </si>
  <si>
    <t>Economic loss per premature mortality due to Covid-19</t>
  </si>
  <si>
    <t>1050000 CHF</t>
  </si>
  <si>
    <t>sechs verlorene Lebensjahre von verstorbenen Personen an sowie einen Geldwert eines Lebensjahres von 175’000 Franken 
Frühwarnsystem gegen Pandemien spart bis zu 30 Milliarden Franken (pourdemain.ch)</t>
  </si>
  <si>
    <t>Losses of QALYs associated with a Covid-19 symptomatic case</t>
  </si>
  <si>
    <t>https://resource-allocation.biomedcentral.com/articles/10.1186/s12962-022-00356-1/tables/2</t>
  </si>
  <si>
    <t>Losses of QALYs associated with a long Covid-19 infection</t>
  </si>
  <si>
    <t>Losses of QALYs associated with a Covid-19 hospitalisation</t>
  </si>
  <si>
    <t>Economic equivalent of 1 QUALY (€)</t>
  </si>
  <si>
    <t>https://cordis.europa.eu/article/id/411538-estimating-a-monetary-value-of-health-why-and-how</t>
  </si>
  <si>
    <t>Economic equivalent of 1 QUALY (CH)</t>
  </si>
  <si>
    <t>?</t>
  </si>
  <si>
    <t>normal winter</t>
  </si>
  <si>
    <t>conservative</t>
  </si>
  <si>
    <t>pessimistic</t>
  </si>
  <si>
    <t>na</t>
  </si>
  <si>
    <t>Hospitalisation rate overall (per infection)</t>
  </si>
  <si>
    <t>calculation, see Selected infectious diseases sheet</t>
  </si>
  <si>
    <t>Hospitalisation rate 18-59y (per infection)</t>
  </si>
  <si>
    <t xml:space="preserve">calculation </t>
  </si>
  <si>
    <t>Mortality  overall (per infection)</t>
  </si>
  <si>
    <t>https://doi.org/10.1016/S0140-6736(17)33293-2</t>
  </si>
  <si>
    <t>Mortality 18-59y (per infection)</t>
  </si>
  <si>
    <t>Cost of hospitalisation GER in EUR</t>
  </si>
  <si>
    <t>https://www.ncbi.nlm.nih.gov/pmc/articles/PMC8761049/ (only laboratory-verified)
https://bmcpublichealth.biomedcentral.com/articles/10.1186/s12889-019-7458-x</t>
  </si>
  <si>
    <t>large differences between age groups
hospitalisation rates and costs not stable over the years
numbers not from same year, not always inflation-adjusted</t>
  </si>
  <si>
    <t>Cost of hospitalisation CH in CHF</t>
  </si>
  <si>
    <t>https://www.ncbi.nlm.nih.gov/pmc/articles/PMC10667819/ (includes rehabilitation, only adults)</t>
  </si>
  <si>
    <t>computed from numbers in the paper</t>
  </si>
  <si>
    <t>Cost of disability case for healthcare</t>
  </si>
  <si>
    <t>Sick days per infection</t>
  </si>
  <si>
    <t xml:space="preserve"> https://pubmed.ncbi.nlm.nih.gov/18850761/
https://bmcpublichealth.biomedcentral.com/articles/10.1186/s12889-019-7458-x</t>
  </si>
  <si>
    <t>Sick days per hospitalisation</t>
  </si>
  <si>
    <t>assumption, similar to covid</t>
  </si>
  <si>
    <t>Loss of productivity per sick day</t>
  </si>
  <si>
    <t>QALYs lost per death due to resp infection</t>
  </si>
  <si>
    <t>Estimation by https://www.ncbi.nlm.nih.gov/pmc/articles/PMC9151280/ (warning: uses DALYs)
Matches in relation with Covid according to https://typeset.io/questions/how-many-years-of-life-are-lost-due-to-the-flu-2ia3t1ciic
Outlier: https://www.aerzteblatt.de/int/archive/article/218061/Years-of-life-lost-to-death-a-comprehensive-analysis-of-mortality-in-Germany-conducted-as-part-of-the-BURDEN-nbsp-2020-project gives around 11 years lost (but for all respiratory diseases combined, so possibly swamped by Covid)</t>
  </si>
  <si>
    <t>Economic loss per premature mortality</t>
  </si>
  <si>
    <t>Losses of QALYs associated with a respiratory infection</t>
  </si>
  <si>
    <t>Cost-Effectiveness of Pediatric Influenza Vaccination in The Netherlands (valueinhealthjournal.com)</t>
  </si>
  <si>
    <t>influenza H1N1, https://www.ncbi.nlm.nih.gov/pmc/articles/PMC3610925/</t>
  </si>
  <si>
    <t>Losses of QALYs associated with a disability induced from resp. Infection</t>
  </si>
  <si>
    <t>Losses of QALYs associated with hospitalisation</t>
  </si>
  <si>
    <t xml:space="preserve">analogous to "extreme pandemic" in Frühwarnsystem gegen Pandemien spart bis zu 30 Milliarden Franken (pourdemain.ch) </t>
  </si>
  <si>
    <t>Mortality  overall</t>
  </si>
  <si>
    <t>Mortality 18-59y</t>
  </si>
  <si>
    <t>as for COVID (see above)</t>
  </si>
  <si>
    <t>Sick days per case of disability</t>
  </si>
  <si>
    <t>Economic losss per premature mortality</t>
  </si>
  <si>
    <t>QALYs lost per death</t>
  </si>
  <si>
    <t>Losses of QALYs associated with an infection</t>
  </si>
  <si>
    <t>extrapolated from covid and influenza</t>
  </si>
  <si>
    <t>Losses of QALYs associated with a disability induced from Infection</t>
  </si>
  <si>
    <t>Other consequences</t>
  </si>
  <si>
    <t>Increase in depression</t>
  </si>
  <si>
    <t>loss in days of schooling</t>
  </si>
  <si>
    <t>equals sick days minus weekend</t>
  </si>
  <si>
    <t>Increase in domestic violence</t>
  </si>
  <si>
    <t>https://www.dailysabah.com/world/europe/drastic-increase-in-domestic-violence-amid-pandemic-german-group gives 10% to 15%
https://pubmed.ncbi.nlm.nih.gov/36636865/ finds no increase (? I cannot check which questions they used - if a questionaire asked about domestic violence "in the past", the number people in danger might not increase, but the amount of danger they face might still increase substantially)
https://www.ncbi.nlm.nih.gov/pmc/articles/PMC8164185/ shows impact of pandemic but cannot be easily transformed into percentage</t>
  </si>
  <si>
    <t>Change in unemployment</t>
  </si>
  <si>
    <t>normal winter 
high activity</t>
  </si>
  <si>
    <t>normal winter 
low activity</t>
  </si>
  <si>
    <t>pandemic peak 
high activity</t>
  </si>
  <si>
    <t>pandemic peak 
low activity</t>
  </si>
  <si>
    <t>severe pandemic high activity</t>
  </si>
  <si>
    <t>severe pandemic 
low activity</t>
  </si>
  <si>
    <t>Irish Pub</t>
  </si>
  <si>
    <t>fast food</t>
  </si>
  <si>
    <t>exclude maybe or add details</t>
  </si>
  <si>
    <t>Queue fast food</t>
  </si>
  <si>
    <t>Neuro Göppingen</t>
  </si>
  <si>
    <t>Neuro Dortmund</t>
  </si>
  <si>
    <t>Warteraum Thun</t>
  </si>
  <si>
    <t>Pandemic</t>
  </si>
  <si>
    <t>intangible costs</t>
  </si>
  <si>
    <t>Total Sum CHF</t>
  </si>
  <si>
    <t>Total Sum €</t>
  </si>
  <si>
    <t>CH</t>
  </si>
  <si>
    <t>DE</t>
  </si>
  <si>
    <t># sick days</t>
  </si>
  <si>
    <t>QALY  loss w/o death</t>
  </si>
  <si>
    <t>QALY loss incl deaths</t>
  </si>
  <si>
    <t>QALY in CHF</t>
  </si>
  <si>
    <t>QALY in DE</t>
  </si>
  <si>
    <t xml:space="preserve">Normal Winter </t>
  </si>
  <si>
    <t>All</t>
  </si>
  <si>
    <t>18-59y</t>
  </si>
  <si>
    <t>Covid-Pandemic</t>
  </si>
  <si>
    <t>Severe Pandemic</t>
  </si>
  <si>
    <t>Benefits per Setting</t>
  </si>
  <si>
    <t>Expected monetary benefits by avoided infections in these settings through the implementation of far-UVC in addition to existing ventilation (see Sheet Scenarios)</t>
  </si>
  <si>
    <t>severe pandemic 
high activity</t>
  </si>
  <si>
    <t>intangible benefits</t>
  </si>
  <si>
    <t>Sum of all benefits</t>
  </si>
  <si>
    <t>CH (CHF)</t>
  </si>
  <si>
    <t>DE (€)</t>
  </si>
  <si>
    <t>Sum of all benefits per lamp</t>
  </si>
  <si>
    <t>Benefits/costs ratio</t>
  </si>
  <si>
    <t>ICER far-UVC vs HEPA</t>
  </si>
  <si>
    <t>CH ($)</t>
  </si>
  <si>
    <t>better compare to just ventilation?</t>
  </si>
  <si>
    <t>Costs from far-UVC implementation</t>
  </si>
  <si>
    <t>severe pandemic</t>
  </si>
  <si>
    <t>Anzahl in der Schweiz</t>
  </si>
  <si>
    <t>Quelle</t>
  </si>
  <si>
    <t>Benefits-Costs for 1</t>
  </si>
  <si>
    <t>Benefits-costs for all</t>
  </si>
  <si>
    <t>Avoided sick days for 1</t>
  </si>
  <si>
    <t>Avoided sick days for all</t>
  </si>
  <si>
    <t>Restaurants (Gastronomiebetriebe)</t>
  </si>
  <si>
    <t>https://de.statista.com/statistik/daten/studie/500866/umfrage/gastronomiebetriebe-in-der-schweiz/</t>
  </si>
  <si>
    <t>https://www.nzz.ch/zuerich/zuerich-gastronomie-experte-peter-herzog-es-gibt-zu-viele-restaurants-ld.1752260</t>
  </si>
  <si>
    <t>Bars &amp; Clubs</t>
  </si>
  <si>
    <t>94 (Zürich)</t>
  </si>
  <si>
    <t>https://www.20min.ch/story/bars-und-clubs-machen-198-millionen-fr-umsatz-840380386389</t>
  </si>
  <si>
    <t>große Fast Food Lokale?</t>
  </si>
  <si>
    <t>https://www.htr.ch/edition-francaise/article/fast-food-hotspots-schweiz-jedes-zehnte-restaurant-33925</t>
  </si>
  <si>
    <t>Wartezimmer GP</t>
  </si>
  <si>
    <t>https://www.bfs.admin.ch/asset/de/28085082</t>
  </si>
  <si>
    <t>Krankenhäuser Notaufnahmen</t>
  </si>
  <si>
    <t>1,6 Mio Notaufnahmen</t>
  </si>
  <si>
    <t>https://de.statista.com/themen/4556/krankenhaeuser-in-der-schweiz/#topicOverview</t>
  </si>
  <si>
    <t>https://www.obsan.admin.ch/sites/default/files/obsan_bulletin_2013-03_d.pdf</t>
  </si>
  <si>
    <t>KH Wartezimmer</t>
  </si>
  <si>
    <t>Einzelbüros 10m^2</t>
  </si>
  <si>
    <t>calculation and assumption</t>
  </si>
  <si>
    <t xml:space="preserve"> </t>
  </si>
  <si>
    <t>Büros (klein)</t>
  </si>
  <si>
    <t>59,44 Mio m^2 Bürofläche</t>
  </si>
  <si>
    <t>https://de.statista.com/statistik/daten/studie/494208/umfrage/bestand-an-bueroflaechen-in-der-schweiz/</t>
  </si>
  <si>
    <t>Büros (groß)</t>
  </si>
  <si>
    <t>Büros (mittel)</t>
  </si>
  <si>
    <t>Riesige Büros 300m^2</t>
  </si>
  <si>
    <t>CHF/capita</t>
  </si>
  <si>
    <t>Sick days/capita</t>
  </si>
  <si>
    <t>Bevölkerung CH</t>
  </si>
  <si>
    <t>sick days avoided/capita</t>
  </si>
  <si>
    <t>covid-like pandemic peak</t>
  </si>
  <si>
    <t>optimistic</t>
  </si>
  <si>
    <t>Purchase+Installation Cost per Unit ($)</t>
  </si>
  <si>
    <t>expert estimate; assume to be expected again in full after lamp lifecycle</t>
  </si>
  <si>
    <t>Energy Usage per Unit (W)</t>
  </si>
  <si>
    <t>Ushio</t>
  </si>
  <si>
    <t>Lamp Lifecycle (Hours)</t>
  </si>
  <si>
    <t>https://onlinelibrary.wiley.com/doi/full/10.1002/gch2.202200236</t>
  </si>
  <si>
    <t>https://uv-can.com/products/carnation-far-uv-ceiling-light</t>
  </si>
  <si>
    <t>https://www.egms.de/static/en/journals/dgkh/2021-16/dgkh000378.shtml</t>
  </si>
  <si>
    <t>Maintenance Costs per Unit (% of P+I)</t>
  </si>
  <si>
    <t>Energy Cost ($/kWh)</t>
  </si>
  <si>
    <t>d-fine internal estimation (Flamingo project)</t>
  </si>
  <si>
    <t>Total costs per year</t>
  </si>
  <si>
    <t>working hours (8h*6d*52w):</t>
  </si>
  <si>
    <t>Expected lifespan of lamp</t>
  </si>
  <si>
    <t>Baseline with 10 years lifespan limit</t>
  </si>
  <si>
    <t>Annual costs per setting given the lamps are always turned on during business hours up to a maximum of 8h/day and only during winter (22 weeks)</t>
  </si>
  <si>
    <t>Office, waiting rooms working hours (8h*5*22w)</t>
  </si>
  <si>
    <t>Assumption: max lifespan of 10 years</t>
  </si>
  <si>
    <t>Hospital Thun, fast food hours (8h*7d*22w)</t>
  </si>
  <si>
    <t>restaurant working hours (4h*6d*22w)</t>
  </si>
  <si>
    <t>irish pub hours (3h*6d*22w)</t>
  </si>
  <si>
    <t>1$</t>
  </si>
  <si>
    <t>Hepa Filter</t>
  </si>
  <si>
    <t>https://www.philips.de/c-p/AC4236_10/series-4000i-luftreiniger</t>
  </si>
  <si>
    <t>https://www.philips.de/c-w/search.html#q=%20FY4440%2F30&amp;cq=%40ps_contenttype_key%3D%3Dproduct</t>
  </si>
  <si>
    <t>60 Watt</t>
  </si>
  <si>
    <t>#Lamps</t>
  </si>
  <si>
    <t>#Filter</t>
  </si>
  <si>
    <t>Kosten Lamps</t>
  </si>
  <si>
    <t>Kosten Filter</t>
  </si>
  <si>
    <t>Differenz</t>
  </si>
  <si>
    <t>%</t>
  </si>
  <si>
    <t>Sum of Benefits Split up</t>
  </si>
  <si>
    <t xml:space="preserve">normal winter </t>
  </si>
  <si>
    <t>restaurant</t>
  </si>
  <si>
    <t>waiting room</t>
  </si>
  <si>
    <t>office</t>
  </si>
  <si>
    <t xml:space="preserve">pandemic peak </t>
  </si>
  <si>
    <t xml:space="preserve">severe pandemic </t>
  </si>
  <si>
    <t>DISCARDED IDEAS:</t>
  </si>
  <si>
    <t>avg restaurant</t>
  </si>
  <si>
    <t>avg waiting room</t>
  </si>
  <si>
    <t>avg office</t>
  </si>
  <si>
    <t>restaurant avg activity</t>
  </si>
  <si>
    <t>avg waiting room average activity</t>
  </si>
  <si>
    <t>large office</t>
  </si>
  <si>
    <t>RESTAURANTS</t>
  </si>
  <si>
    <t>raw data</t>
  </si>
  <si>
    <t>rounded to 50</t>
  </si>
  <si>
    <t>WAITING ROOM</t>
  </si>
  <si>
    <t>Sum of all benefits all restaurant types</t>
  </si>
  <si>
    <t>Name of disease</t>
  </si>
  <si>
    <t>Time period</t>
  </si>
  <si>
    <t>Number of registered diseases</t>
  </si>
  <si>
    <t>Number of hospitalisation</t>
  </si>
  <si>
    <t>Hospitalisation rate</t>
  </si>
  <si>
    <t>Number of deaths</t>
  </si>
  <si>
    <t>Mortality rate</t>
  </si>
  <si>
    <t>Mortality hospitalisation</t>
  </si>
  <si>
    <t>Estimation of long term effects</t>
  </si>
  <si>
    <t>Influenza 2022/23</t>
  </si>
  <si>
    <t>KW 40 2022 - KW 39 2023</t>
  </si>
  <si>
    <t>-</t>
  </si>
  <si>
    <t>Number of registered diseases:https://influenza.rki.de/Wochenberichte/2022_2023/2023-39.pdf (Tab.2)
Hospitalisation rate:https://influenza.rki.de/Wochenberichte/2022_2023/2023-39.pdf (Tab.2)
Mortality rate:https://influenza.rki.de/Wochenberichte/2022_2023/2023-39.pdf (Tab.2)
Estimation of long term effects:</t>
  </si>
  <si>
    <t>Influenza 2023/24</t>
  </si>
  <si>
    <t>KW 40 2023 - KW 52 2023</t>
  </si>
  <si>
    <t>Number of registered diseases:https://influenza.rki.de/Wochenberichte/2023_2024/2023-52.pdf (Tab.3)
Hospitalisation rate:https://influenza.rki.de/Wochenberichte/2023_2024/2023-52.pdf (Tab.3)
Mortality rate:https://influenza.rki.de/Wochenberichte/2023_2024/2023-52.pdf (Tab.3)
Estimation of long term effects:</t>
  </si>
  <si>
    <t>COVID-19 2022/23</t>
  </si>
  <si>
    <t>3 %- 14%</t>
  </si>
  <si>
    <t xml:space="preserve">Number of registered diseases:https://influenza.rki.de/Wochenberichte/2022_2023/2023-39.pdf (Tab.2)
Hospitalisation rate:https://influenza.rki.de/Wochenberichte/2022_2023/2023-39.pdf (Tab.2)
Mortality rate:https://influenza.rki.de/Wochenberichte/2022_2023/2023-39.pdf (Tab.2)
Estimation of long term effects: https://www.rki.de/SharedDocs/FAQ/NCOV2019/FAQ_Liste_Gesundheitliche_Langzeitfolgen.html  | https://academic.oup.com/ofid/article/10/7/ofad233/7150886  | https://www.nature.com/articles/s41467-022-30836-0  | Test results are not unambiguous, because there is often a lack of comparability. RKI lists various studies Long Covid can be estimated at approx. 3% - 14%. The effects of Long Covid can vary significantly. </t>
  </si>
  <si>
    <t>COVID-19 2023</t>
  </si>
  <si>
    <t>Respiratory syncytial virus (RSV)</t>
  </si>
  <si>
    <t>Number of registered diseases:https://influenza.rki.de/Wochenberichte/2023_2024/2023-52.pdf (Tab.4)
Hospitalisation rate:https://influenza.rki.de/Wochenberichte/2023_2024/2023-52.pdf (Tab.4)
Mortality rate:Results on mortality are not yet available in Germany 
Estimation of long term effects:</t>
  </si>
  <si>
    <t>Tuberculosis (TB)</t>
  </si>
  <si>
    <t>Number of registered diseases:https://www.rki.de/DE/Content/InfAZ/T/Tuberkulose/Download/TB2022.pdf?__blob=publicationFile (p. 13)
Hospitalisation rate:https://www.rki.de/DE/Content/InfAZ/T/Tuberkulose/Download/TB2022.pdf?__blob=publicationFile (p.27)
Mortality rate:https://www.rki.de/DE/Content/InfAZ/T/Tuberkulose/Download/TB2022.pdf?__blob=publicationFile (p.48)
Estimation of long term effects:</t>
  </si>
  <si>
    <t>Number of registered diseases: https://edoc.rki.de/bitstream/handle/176904/6987/TB2019.pdf?sequence=1&amp;isAllowed=y (p. 17)
Hospitalisation rate:https://edoc.rki.de/bitstream/handle/176904/6987/TB2019.pdf?sequence=1&amp;isAllowed=y (p.33)
Mortality rate:https://influenza.rki.de/Wochenberichte/2023_2024/2023-52.pdf (p.57)
Estimation of long term effects:</t>
  </si>
  <si>
    <t>Whooping cough (Dt. Keuchhusten)</t>
  </si>
  <si>
    <t>Number of registered diseases: https://www.rki.de/DE/Content/Infekt/Jahrbuch/Jahrbuch_2019.pdf?__blob=publicationFile (S.147)
Hospitalisation rate: https://www.rki.de/DE/Content/Infekt/Jahrbuch/Jahrbuch_2019.pdf?__blob=publicationFile (S.148) / Number of hospitalisation caused by Whooping cough
Mortality rate: https://www.rki.de/DE/Content/Infekt/Jahrbuch/Jahrbuch_2019.pdf?__blob=publicationFile (S.155)
Estimation of long term effects:</t>
  </si>
  <si>
    <t>Pox</t>
  </si>
  <si>
    <t xml:space="preserve">Hospitalisation rate: https://www.rki.de/DE/Content/Infekt/Biosicherheit/Agenzien/bg_pocken.pdf?__blob=publicationFile / Quarantine in designated facilities should be carried out for people who are ill due to pox
Mortality rate: https://www.dzif.de/de/glossar/pocken / https://www.msdmanuals.com/de-de/profi/infektionskrankheiten/pockenviren/pocken </t>
  </si>
  <si>
    <t>Plague</t>
  </si>
  <si>
    <t xml:space="preserve">Hospitalisation rate: https://www.rki.de/DE/Content/Infekt/EpidBull/Merkblaetter/Ratgeber_Pest.html#doc10166986bodyText12 (Treatment of the plague should take place in quarantine centres)
Mortality rate: https://www.rki.de/SharedDocs/FAQ/Pest/FAQ_Liste.html
Plaque Madagaskar: https://wwwnc.cdc.gov/eid/article/30/2/23-0759_article </t>
  </si>
  <si>
    <t>Sum of Benefits (without intangible benefits)</t>
  </si>
  <si>
    <t>Sum of all benefits per lamp (without intangible benefits)</t>
  </si>
  <si>
    <t>Benefits/costs ratio (without intangible benefits)</t>
  </si>
  <si>
    <t>Overview of excel sheets</t>
  </si>
  <si>
    <t>Title</t>
  </si>
  <si>
    <t>Description</t>
  </si>
  <si>
    <t>Scenarios</t>
  </si>
  <si>
    <t>List of settings and corresponding parameter sets that are input variables for Caimira (dark orange) followed by occurence frequency per parameter set (light green and yellow) , then output from Caimira (light orange) and upscaled values across whole length of pandemic scenario (dark blue)</t>
  </si>
  <si>
    <t>Assumptions Benefits</t>
  </si>
  <si>
    <t>List of assumptions necessary for monetary assessment of impact like hospitalisation rates, average sick days per infection etc. for all three pandemic scenarios including sources</t>
  </si>
  <si>
    <t>Calculation of monetary benefits per setting split into healthcare, national economy and intangible benegfits and total sums and cost-benefit ratio. Numbers shown in red have not been used further (discarded acitivity type from Scenarios sheet)</t>
  </si>
  <si>
    <t>Monetary Benefits calc</t>
  </si>
  <si>
    <t>Per Capita benefits</t>
  </si>
  <si>
    <t>Total results:</t>
  </si>
  <si>
    <t>How many in CH?</t>
  </si>
  <si>
    <t>Office (small)</t>
  </si>
  <si>
    <t>Office (large)</t>
  </si>
  <si>
    <t>Office (medium)</t>
  </si>
  <si>
    <t>Huge offices (300m^2)</t>
  </si>
  <si>
    <t>Single offices 10m^2</t>
  </si>
  <si>
    <t>Hospital waiting rooms</t>
  </si>
  <si>
    <t>Emergency rooms</t>
  </si>
  <si>
    <t>Waiting rooms GP</t>
  </si>
  <si>
    <t>Restaurants ("Gastronomiebetriebe")</t>
  </si>
  <si>
    <t>large Fast Food places</t>
  </si>
  <si>
    <t>94 (in Zurich)</t>
  </si>
  <si>
    <t>Calculation of benefits per capita in Switzerland (gains and avoided sick days)</t>
  </si>
  <si>
    <t>Calc. Without intangible Ben.</t>
  </si>
  <si>
    <t>Copied sheet "Monetary benefits calc" but sums and ratios are calculated without intangible benefits</t>
  </si>
  <si>
    <t>Per Capita ben. wo intangible</t>
  </si>
  <si>
    <t>Copied sheet "Per Capita benefits" but calculations don't include intangible benefits</t>
  </si>
  <si>
    <t>Costs</t>
  </si>
  <si>
    <t>Graphs</t>
  </si>
  <si>
    <t>Cost calculation per year for far-UVC lamps and HEPA filters</t>
  </si>
  <si>
    <t>Working sheet for graph preparation for the word document</t>
  </si>
  <si>
    <t>Selected infectious diseases</t>
  </si>
  <si>
    <t>Table of background information on selected respiratory diseases like confirmed number of cases, hospitalisations etc.</t>
  </si>
  <si>
    <t>Tool to assess impact of far-UVC light in hospitality, medical and office settings using the CERN-code CAIMIRA, developed by d-fine GmbH</t>
  </si>
  <si>
    <t>Please contact Sabine Matysik (sabine.matysik@d-fine.com) for questions</t>
  </si>
  <si>
    <t>Expected monetary benefits by avoided infections in these settings through the implementation of far-UVC in addition to existing ventilation (see Sheet Scenarios). Red numbers have not been used in further calculations (only one activity type was chosen for each subsetting)</t>
  </si>
  <si>
    <t>Baseline without limit on lifespan</t>
  </si>
  <si>
    <t>3 years 600€</t>
  </si>
  <si>
    <t>new Filter 100€</t>
  </si>
  <si>
    <t>following years</t>
  </si>
  <si>
    <t>average over 10 years</t>
  </si>
  <si>
    <t>first 3 years</t>
  </si>
  <si>
    <t>sick days avoided for all</t>
  </si>
  <si>
    <t>Incremental cost effectiveness ratio</t>
  </si>
  <si>
    <t>ICER (only intangible benefits)</t>
  </si>
  <si>
    <t>normal winter
high activity</t>
  </si>
  <si>
    <t>normal winter
low activity</t>
  </si>
  <si>
    <t>pandemic peak
high activity</t>
  </si>
  <si>
    <t>pandemic peak
low activity</t>
  </si>
  <si>
    <t>CHF total</t>
  </si>
  <si>
    <t>DALYs lost</t>
  </si>
  <si>
    <t>e.g. irish pub</t>
  </si>
  <si>
    <t>CHF cost per person per hour exposure</t>
  </si>
  <si>
    <t>lamps increase ozone conc by 10 ppm</t>
  </si>
  <si>
    <t>cost per season</t>
  </si>
  <si>
    <t>https://www.tandfonline.com/doi/full/10.1080/14733315.2023.2198800</t>
  </si>
  <si>
    <t>https://chemrxiv.org/engage/chemrxiv/article-details/665a5c8d91aefa6ce17d493a</t>
  </si>
  <si>
    <t>https://pubs.acs.org/doi/suppl/10.1021/acs.estlett.3c00314/suppl_file/ez3c00314_si_001.pdf</t>
  </si>
  <si>
    <t>https://www.ncbi.nlm.nih.gov/pmc/articles/PMC8672270/</t>
  </si>
  <si>
    <t>6L/h breathing</t>
  </si>
  <si>
    <t>DALY harm</t>
  </si>
  <si>
    <t>ozone from GUV</t>
  </si>
  <si>
    <t>Baseline ($)</t>
  </si>
  <si>
    <t>ICER (only intangibles)</t>
  </si>
  <si>
    <t>covid-19 like pandemic</t>
  </si>
  <si>
    <t>waiting rooms</t>
  </si>
  <si>
    <t>CHF restaurants only</t>
  </si>
  <si>
    <t>COVID-like pandemic high activity</t>
  </si>
  <si>
    <t>Severe pandemic</t>
  </si>
  <si>
    <t>Normal winter high activity</t>
  </si>
  <si>
    <t>Cost-benefit for 1</t>
  </si>
  <si>
    <t>Cost-benefit for all</t>
  </si>
  <si>
    <t>8-10%</t>
  </si>
  <si>
    <t>Benefit calculation</t>
  </si>
  <si>
    <t>Normal winter</t>
  </si>
  <si>
    <t>Incidence rate</t>
  </si>
  <si>
    <t>Symptomatic Covid case</t>
  </si>
  <si>
    <t>Disability induced?</t>
  </si>
  <si>
    <t>Annual economic and social cost per domestic violence victim (GBP)</t>
  </si>
  <si>
    <t>Alternative?</t>
  </si>
  <si>
    <t>Maintenance far-UVC</t>
  </si>
  <si>
    <t>With farUVC*10</t>
  </si>
  <si>
    <t>With farUVC</t>
  </si>
  <si>
    <t>Cost-benefit analysis of far-UVC lamps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</si>
</sst>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0.0"/>
    <numFmt numFmtId="166" formatCode="_-* #,##0.00\ _€_-;\-* #,##0.00\ _€_-;_-* &quot;-&quot;??\ _€_-;_-@_-"/>
    <numFmt numFmtId="167" formatCode="_-* #,##0_-;\-* #,##0_-;_-* &quot;-&quot;??_-;_-@_-"/>
    <numFmt numFmtId="168" formatCode="0.0000%"/>
    <numFmt numFmtId="169" formatCode="0.000"/>
    <numFmt numFmtId="170" formatCode="0.00000"/>
    <numFmt numFmtId="171" formatCode="0.000%"/>
    <numFmt numFmtId="172" formatCode="_-* #,##0\ _€_-;\-* #,##0\ _€_-;_-* &quot;-&quot;??\ _€_-;_-@_-"/>
    <numFmt numFmtId="173" formatCode="_-* #,##0.0_-;\-* #,##0.0_-;_-* &quot;-&quot;??_-;_-@_-"/>
    <numFmt numFmtId="174" formatCode="_-* #,##0.000_-;\-* #,##0.000_-;_-* &quot;-&quot;??_-;_-@_-"/>
    <numFmt numFmtId="175" formatCode="_-* #,##0.0000_-;\-* #,##0.0000_-;_-* &quot;-&quot;??_-;_-@_-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Roboto"/>
    </font>
    <font>
      <b/>
      <sz val="10"/>
      <color theme="1"/>
      <name val="Roboto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Roboto Slab"/>
    </font>
    <font>
      <b/>
      <sz val="22"/>
      <color theme="4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175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0" fillId="0" borderId="0" xfId="0" applyAlignment="1">
      <alignment vertical="top" wrapText="1"/>
    </xf>
    <xf numFmtId="0" fontId="5" fillId="0" borderId="0" xfId="3"/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vertical="top"/>
    </xf>
    <xf numFmtId="0" fontId="0" fillId="0" borderId="0" xfId="0" applyAlignment="1">
      <alignment vertical="top"/>
    </xf>
    <xf numFmtId="0" fontId="9" fillId="0" borderId="0" xfId="0" applyFont="1" applyAlignment="1">
      <alignment vertical="top"/>
    </xf>
    <xf numFmtId="9" fontId="0" fillId="0" borderId="0" xfId="0" applyNumberFormat="1" applyAlignment="1">
      <alignment vertical="top"/>
    </xf>
    <xf numFmtId="0" fontId="1" fillId="0" borderId="0" xfId="0" applyFont="1" applyAlignment="1">
      <alignment vertical="top"/>
    </xf>
    <xf numFmtId="10" fontId="0" fillId="0" borderId="0" xfId="0" applyNumberFormat="1" applyAlignment="1">
      <alignment vertical="top"/>
    </xf>
    <xf numFmtId="1" fontId="0" fillId="0" borderId="0" xfId="0" applyNumberFormat="1" applyAlignment="1">
      <alignment vertical="top"/>
    </xf>
    <xf numFmtId="0" fontId="0" fillId="0" borderId="1" xfId="0" applyBorder="1" applyAlignment="1">
      <alignment wrapText="1"/>
    </xf>
    <xf numFmtId="2" fontId="0" fillId="0" borderId="0" xfId="0" applyNumberFormat="1" applyAlignment="1">
      <alignment vertical="top"/>
    </xf>
    <xf numFmtId="9" fontId="0" fillId="0" borderId="0" xfId="0" applyNumberFormat="1"/>
    <xf numFmtId="0" fontId="5" fillId="0" borderId="0" xfId="3" applyAlignment="1">
      <alignment vertical="top"/>
    </xf>
    <xf numFmtId="0" fontId="10" fillId="2" borderId="2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10" fontId="0" fillId="0" borderId="2" xfId="0" applyNumberFormat="1" applyBorder="1" applyAlignment="1">
      <alignment horizontal="center" vertical="top"/>
    </xf>
    <xf numFmtId="49" fontId="0" fillId="0" borderId="2" xfId="0" applyNumberFormat="1" applyBorder="1" applyAlignment="1">
      <alignment horizontal="center" vertical="top"/>
    </xf>
    <xf numFmtId="9" fontId="0" fillId="0" borderId="2" xfId="0" applyNumberForma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10" fontId="0" fillId="0" borderId="0" xfId="0" applyNumberFormat="1"/>
    <xf numFmtId="10" fontId="0" fillId="0" borderId="0" xfId="4" applyNumberFormat="1" applyFont="1"/>
    <xf numFmtId="1" fontId="0" fillId="0" borderId="0" xfId="0" applyNumberFormat="1"/>
    <xf numFmtId="9" fontId="0" fillId="0" borderId="0" xfId="4" applyFont="1"/>
    <xf numFmtId="43" fontId="0" fillId="0" borderId="0" xfId="1" applyFont="1" applyAlignment="1">
      <alignment vertical="top"/>
    </xf>
    <xf numFmtId="170" fontId="0" fillId="0" borderId="0" xfId="0" applyNumberFormat="1" applyAlignment="1">
      <alignment vertical="top"/>
    </xf>
    <xf numFmtId="169" fontId="0" fillId="0" borderId="0" xfId="0" applyNumberFormat="1" applyAlignment="1">
      <alignment vertical="top"/>
    </xf>
    <xf numFmtId="10" fontId="0" fillId="0" borderId="0" xfId="0" applyNumberFormat="1" applyAlignment="1">
      <alignment vertical="top" wrapText="1"/>
    </xf>
    <xf numFmtId="2" fontId="4" fillId="0" borderId="0" xfId="0" applyNumberFormat="1" applyFont="1" applyAlignment="1">
      <alignment vertical="top"/>
    </xf>
    <xf numFmtId="0" fontId="9" fillId="4" borderId="0" xfId="0" applyFont="1" applyFill="1" applyAlignment="1">
      <alignment vertical="top" wrapText="1"/>
    </xf>
    <xf numFmtId="167" fontId="0" fillId="0" borderId="0" xfId="1" applyNumberFormat="1" applyFont="1"/>
    <xf numFmtId="166" fontId="0" fillId="0" borderId="0" xfId="0" applyNumberFormat="1"/>
    <xf numFmtId="172" fontId="0" fillId="0" borderId="0" xfId="0" applyNumberFormat="1" applyAlignment="1">
      <alignment horizontal="right"/>
    </xf>
    <xf numFmtId="0" fontId="9" fillId="12" borderId="0" xfId="0" applyFont="1" applyFill="1" applyAlignment="1">
      <alignment vertical="top" wrapText="1"/>
    </xf>
    <xf numFmtId="0" fontId="9" fillId="13" borderId="0" xfId="0" applyFont="1" applyFill="1" applyAlignment="1">
      <alignment vertical="top" wrapText="1"/>
    </xf>
    <xf numFmtId="0" fontId="15" fillId="0" borderId="0" xfId="0" applyFont="1" applyAlignment="1">
      <alignment vertical="center"/>
    </xf>
    <xf numFmtId="0" fontId="5" fillId="0" borderId="0" xfId="3" applyAlignment="1">
      <alignment vertical="center"/>
    </xf>
    <xf numFmtId="9" fontId="0" fillId="0" borderId="0" xfId="4" applyFont="1" applyAlignment="1">
      <alignment horizontal="right"/>
    </xf>
    <xf numFmtId="0" fontId="9" fillId="14" borderId="0" xfId="0" applyFont="1" applyFill="1" applyAlignment="1">
      <alignment vertical="top" wrapText="1"/>
    </xf>
    <xf numFmtId="0" fontId="14" fillId="0" borderId="2" xfId="0" applyFont="1" applyBorder="1" applyAlignment="1">
      <alignment wrapText="1"/>
    </xf>
    <xf numFmtId="0" fontId="14" fillId="0" borderId="4" xfId="0" applyFont="1" applyBorder="1" applyAlignment="1">
      <alignment wrapText="1"/>
    </xf>
    <xf numFmtId="2" fontId="1" fillId="0" borderId="0" xfId="0" applyNumberFormat="1" applyFont="1"/>
    <xf numFmtId="0" fontId="14" fillId="15" borderId="3" xfId="0" applyFont="1" applyFill="1" applyBorder="1" applyAlignment="1">
      <alignment wrapText="1"/>
    </xf>
    <xf numFmtId="2" fontId="0" fillId="0" borderId="0" xfId="1" applyNumberFormat="1" applyFont="1"/>
    <xf numFmtId="0" fontId="0" fillId="16" borderId="0" xfId="0" applyFill="1"/>
    <xf numFmtId="2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/>
    </xf>
    <xf numFmtId="0" fontId="0" fillId="3" borderId="0" xfId="0" applyFill="1"/>
    <xf numFmtId="0" fontId="0" fillId="18" borderId="0" xfId="0" applyFill="1"/>
    <xf numFmtId="0" fontId="0" fillId="19" borderId="0" xfId="0" applyFill="1"/>
    <xf numFmtId="0" fontId="1" fillId="19" borderId="0" xfId="0" applyFont="1" applyFill="1"/>
    <xf numFmtId="173" fontId="0" fillId="0" borderId="0" xfId="0" applyNumberFormat="1"/>
    <xf numFmtId="167" fontId="0" fillId="0" borderId="0" xfId="0" applyNumberFormat="1"/>
    <xf numFmtId="0" fontId="1" fillId="0" borderId="5" xfId="0" applyFont="1" applyBorder="1"/>
    <xf numFmtId="167" fontId="0" fillId="0" borderId="5" xfId="0" applyNumberFormat="1" applyBorder="1"/>
    <xf numFmtId="0" fontId="0" fillId="0" borderId="5" xfId="0" applyBorder="1"/>
    <xf numFmtId="0" fontId="1" fillId="0" borderId="6" xfId="0" applyFont="1" applyBorder="1"/>
    <xf numFmtId="167" fontId="0" fillId="0" borderId="6" xfId="0" applyNumberFormat="1" applyBorder="1"/>
    <xf numFmtId="0" fontId="0" fillId="0" borderId="6" xfId="0" applyBorder="1"/>
    <xf numFmtId="2" fontId="1" fillId="16" borderId="0" xfId="0" applyNumberFormat="1" applyFont="1" applyFill="1"/>
    <xf numFmtId="2" fontId="1" fillId="16" borderId="6" xfId="0" applyNumberFormat="1" applyFont="1" applyFill="1" applyBorder="1"/>
    <xf numFmtId="167" fontId="4" fillId="0" borderId="0" xfId="1" applyNumberFormat="1" applyFont="1"/>
    <xf numFmtId="0" fontId="0" fillId="0" borderId="0" xfId="0" quotePrefix="1"/>
    <xf numFmtId="0" fontId="16" fillId="0" borderId="0" xfId="0" applyFont="1"/>
    <xf numFmtId="0" fontId="6" fillId="0" borderId="0" xfId="0" applyFont="1"/>
    <xf numFmtId="2" fontId="13" fillId="0" borderId="0" xfId="0" applyNumberFormat="1" applyFont="1" applyAlignment="1">
      <alignment vertical="top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1" fillId="20" borderId="0" xfId="0" applyFont="1" applyFill="1" applyAlignment="1">
      <alignment vertical="top"/>
    </xf>
    <xf numFmtId="173" fontId="4" fillId="0" borderId="0" xfId="1" applyNumberFormat="1" applyFont="1"/>
    <xf numFmtId="173" fontId="0" fillId="0" borderId="0" xfId="1" applyNumberFormat="1" applyFont="1"/>
    <xf numFmtId="43" fontId="0" fillId="0" borderId="0" xfId="1" applyFont="1"/>
    <xf numFmtId="174" fontId="0" fillId="0" borderId="0" xfId="1" applyNumberFormat="1" applyFont="1"/>
    <xf numFmtId="175" fontId="0" fillId="0" borderId="0" xfId="1" applyNumberFormat="1" applyFont="1"/>
    <xf numFmtId="43" fontId="1" fillId="0" borderId="0" xfId="1" applyFont="1"/>
    <xf numFmtId="11" fontId="0" fillId="0" borderId="0" xfId="0" applyNumberFormat="1"/>
    <xf numFmtId="167" fontId="0" fillId="16" borderId="0" xfId="1" applyNumberFormat="1" applyFont="1" applyFill="1"/>
    <xf numFmtId="167" fontId="4" fillId="16" borderId="0" xfId="1" applyNumberFormat="1" applyFont="1" applyFill="1"/>
    <xf numFmtId="0" fontId="0" fillId="0" borderId="0" xfId="0" applyAlignment="1">
      <alignment horizontal="center" vertical="top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9" fillId="4" borderId="0" xfId="0" applyFont="1" applyFill="1" applyAlignment="1">
      <alignment horizontal="center" vertical="top" wrapText="1"/>
    </xf>
    <xf numFmtId="0" fontId="9" fillId="3" borderId="0" xfId="0" applyFont="1" applyFill="1" applyAlignment="1">
      <alignment horizontal="center" vertical="top" wrapText="1"/>
    </xf>
    <xf numFmtId="0" fontId="1" fillId="13" borderId="0" xfId="0" applyFont="1" applyFill="1" applyAlignment="1">
      <alignment horizontal="center" vertical="top"/>
    </xf>
    <xf numFmtId="0" fontId="9" fillId="12" borderId="0" xfId="0" applyFont="1" applyFill="1" applyAlignment="1">
      <alignment horizontal="center" vertical="top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17" borderId="0" xfId="0" applyFill="1" applyAlignment="1">
      <alignment horizontal="center"/>
    </xf>
    <xf numFmtId="0" fontId="0" fillId="0" borderId="2" xfId="0" applyBorder="1" applyAlignment="1">
      <alignment horizontal="center" vertical="top" wrapText="1"/>
    </xf>
    <xf numFmtId="0" fontId="10" fillId="2" borderId="2" xfId="0" applyFont="1" applyFill="1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 wrapText="1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9" fontId="0" fillId="0" borderId="0" xfId="0" applyNumberFormat="1" applyAlignment="1">
      <alignment horizontal="center" vertical="top"/>
    </xf>
    <xf numFmtId="0" fontId="5" fillId="0" borderId="0" xfId="3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5" fillId="0" borderId="0" xfId="3" applyAlignment="1">
      <alignment horizontal="center" vertical="top"/>
    </xf>
    <xf numFmtId="9" fontId="0" fillId="0" borderId="0" xfId="0" applyNumberFormat="1" applyAlignment="1">
      <alignment horizontal="center" vertical="top" wrapText="1"/>
    </xf>
    <xf numFmtId="171" fontId="0" fillId="0" borderId="0" xfId="4" applyNumberFormat="1" applyFont="1" applyAlignment="1">
      <alignment horizontal="center" vertical="top"/>
    </xf>
    <xf numFmtId="171" fontId="0" fillId="0" borderId="0" xfId="0" applyNumberFormat="1" applyAlignment="1">
      <alignment horizontal="center" vertical="top"/>
    </xf>
    <xf numFmtId="0" fontId="1" fillId="0" borderId="0" xfId="0" applyFont="1" applyAlignment="1">
      <alignment horizontal="center" vertical="top"/>
    </xf>
    <xf numFmtId="1" fontId="0" fillId="0" borderId="0" xfId="0" applyNumberFormat="1" applyAlignment="1">
      <alignment horizontal="center" vertical="top"/>
    </xf>
    <xf numFmtId="169" fontId="0" fillId="0" borderId="0" xfId="0" applyNumberFormat="1" applyAlignment="1">
      <alignment horizontal="center" vertical="top"/>
    </xf>
    <xf numFmtId="10" fontId="0" fillId="0" borderId="0" xfId="0" applyNumberFormat="1" applyAlignment="1">
      <alignment horizontal="center" vertical="top"/>
    </xf>
    <xf numFmtId="10" fontId="0" fillId="0" borderId="0" xfId="4" applyNumberFormat="1" applyFont="1" applyAlignment="1">
      <alignment horizontal="center" vertical="top"/>
    </xf>
    <xf numFmtId="168" fontId="0" fillId="0" borderId="0" xfId="4" applyNumberFormat="1" applyFont="1" applyAlignment="1">
      <alignment horizontal="center" vertical="top"/>
    </xf>
    <xf numFmtId="0" fontId="12" fillId="0" borderId="0" xfId="0" applyFont="1" applyAlignment="1">
      <alignment horizontal="center" vertical="top"/>
    </xf>
    <xf numFmtId="9" fontId="0" fillId="0" borderId="0" xfId="4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6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7" fillId="6" borderId="0" xfId="0" applyFont="1" applyFill="1" applyAlignment="1">
      <alignment horizontal="center" vertical="top" wrapText="1"/>
    </xf>
    <xf numFmtId="0" fontId="6" fillId="10" borderId="0" xfId="0" applyFont="1" applyFill="1" applyAlignment="1">
      <alignment horizontal="center" vertical="top" wrapText="1"/>
    </xf>
    <xf numFmtId="0" fontId="6" fillId="11" borderId="0" xfId="0" applyFont="1" applyFill="1" applyAlignment="1">
      <alignment horizontal="center" vertical="top" wrapText="1"/>
    </xf>
    <xf numFmtId="2" fontId="0" fillId="0" borderId="0" xfId="0" applyNumberFormat="1" applyAlignment="1">
      <alignment horizontal="center" vertical="top" wrapText="1"/>
    </xf>
    <xf numFmtId="0" fontId="0" fillId="4" borderId="0" xfId="0" applyFill="1" applyAlignment="1">
      <alignment horizontal="center" vertical="top" wrapText="1"/>
    </xf>
    <xf numFmtId="2" fontId="3" fillId="0" borderId="0" xfId="2" applyNumberFormat="1" applyFont="1" applyAlignment="1">
      <alignment horizontal="center" vertical="top" wrapText="1"/>
    </xf>
    <xf numFmtId="1" fontId="3" fillId="0" borderId="0" xfId="2" applyNumberFormat="1" applyFont="1" applyAlignment="1">
      <alignment horizontal="center" vertical="top" wrapText="1"/>
    </xf>
    <xf numFmtId="49" fontId="0" fillId="0" borderId="0" xfId="0" applyNumberFormat="1" applyAlignment="1">
      <alignment horizontal="center" vertical="top" wrapText="1"/>
    </xf>
    <xf numFmtId="0" fontId="0" fillId="3" borderId="0" xfId="0" applyFill="1" applyAlignment="1">
      <alignment horizontal="center" vertical="top" wrapText="1"/>
    </xf>
    <xf numFmtId="1" fontId="0" fillId="0" borderId="0" xfId="1" applyNumberFormat="1" applyFont="1" applyAlignment="1">
      <alignment horizontal="center" vertical="top" wrapText="1"/>
    </xf>
    <xf numFmtId="2" fontId="0" fillId="0" borderId="0" xfId="2" applyNumberFormat="1" applyFont="1" applyAlignment="1">
      <alignment horizontal="center" vertical="top" wrapText="1"/>
    </xf>
    <xf numFmtId="1" fontId="0" fillId="0" borderId="0" xfId="2" applyNumberFormat="1" applyFont="1" applyAlignment="1">
      <alignment horizontal="center" vertical="top" wrapText="1"/>
    </xf>
    <xf numFmtId="1" fontId="0" fillId="4" borderId="0" xfId="1" applyNumberFormat="1" applyFont="1" applyFill="1" applyAlignment="1">
      <alignment horizontal="center" vertical="top" wrapText="1"/>
    </xf>
    <xf numFmtId="43" fontId="0" fillId="0" borderId="0" xfId="1" applyFont="1" applyAlignment="1">
      <alignment horizontal="center" vertical="top" wrapText="1"/>
    </xf>
    <xf numFmtId="167" fontId="0" fillId="3" borderId="0" xfId="1" applyNumberFormat="1" applyFont="1" applyFill="1" applyAlignment="1">
      <alignment horizontal="center" vertical="top" wrapText="1"/>
    </xf>
    <xf numFmtId="167" fontId="0" fillId="3" borderId="1" xfId="1" applyNumberFormat="1" applyFont="1" applyFill="1" applyBorder="1" applyAlignment="1">
      <alignment horizontal="center" vertical="top" wrapText="1"/>
    </xf>
    <xf numFmtId="167" fontId="0" fillId="0" borderId="1" xfId="1" applyNumberFormat="1" applyFont="1" applyBorder="1" applyAlignment="1">
      <alignment horizontal="center" vertical="top" wrapText="1"/>
    </xf>
    <xf numFmtId="1" fontId="0" fillId="3" borderId="1" xfId="1" applyNumberFormat="1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3" borderId="1" xfId="0" applyFill="1" applyBorder="1" applyAlignment="1">
      <alignment horizontal="center" vertical="top" wrapText="1"/>
    </xf>
    <xf numFmtId="0" fontId="0" fillId="5" borderId="0" xfId="0" applyFill="1" applyAlignment="1">
      <alignment horizontal="center" vertical="top" wrapText="1"/>
    </xf>
    <xf numFmtId="1" fontId="0" fillId="0" borderId="0" xfId="0" applyNumberFormat="1" applyAlignment="1">
      <alignment horizontal="center" vertical="top" wrapText="1"/>
    </xf>
    <xf numFmtId="167" fontId="0" fillId="0" borderId="0" xfId="1" applyNumberFormat="1" applyFont="1" applyAlignment="1">
      <alignment horizontal="center" vertical="top" wrapText="1"/>
    </xf>
    <xf numFmtId="167" fontId="0" fillId="4" borderId="0" xfId="1" applyNumberFormat="1" applyFont="1" applyFill="1" applyAlignment="1">
      <alignment horizontal="center" vertical="top" wrapText="1"/>
    </xf>
    <xf numFmtId="0" fontId="0" fillId="6" borderId="0" xfId="0" applyFill="1" applyAlignment="1">
      <alignment horizontal="center" vertical="top" wrapText="1"/>
    </xf>
    <xf numFmtId="0" fontId="0" fillId="6" borderId="1" xfId="0" applyFill="1" applyBorder="1" applyAlignment="1">
      <alignment horizontal="center" vertical="top" wrapText="1"/>
    </xf>
    <xf numFmtId="2" fontId="0" fillId="0" borderId="1" xfId="2" applyNumberFormat="1" applyFont="1" applyBorder="1" applyAlignment="1">
      <alignment horizontal="center" vertical="top" wrapText="1"/>
    </xf>
    <xf numFmtId="2" fontId="3" fillId="0" borderId="1" xfId="2" applyNumberFormat="1" applyFont="1" applyBorder="1" applyAlignment="1">
      <alignment horizontal="center" vertical="top" wrapText="1"/>
    </xf>
    <xf numFmtId="1" fontId="0" fillId="0" borderId="1" xfId="2" applyNumberFormat="1" applyFont="1" applyBorder="1" applyAlignment="1">
      <alignment horizontal="center" vertical="top" wrapText="1"/>
    </xf>
    <xf numFmtId="1" fontId="3" fillId="0" borderId="1" xfId="2" applyNumberFormat="1" applyFont="1" applyBorder="1" applyAlignment="1">
      <alignment horizontal="center" vertical="top" wrapText="1"/>
    </xf>
    <xf numFmtId="2" fontId="0" fillId="0" borderId="1" xfId="0" applyNumberFormat="1" applyBorder="1" applyAlignment="1">
      <alignment horizontal="center" vertical="top" wrapText="1"/>
    </xf>
    <xf numFmtId="0" fontId="0" fillId="7" borderId="0" xfId="0" applyFill="1" applyAlignment="1">
      <alignment horizontal="center" vertical="top" wrapText="1"/>
    </xf>
    <xf numFmtId="2" fontId="0" fillId="0" borderId="0" xfId="1" applyNumberFormat="1" applyFont="1" applyAlignment="1">
      <alignment horizontal="center" vertical="top" wrapText="1"/>
    </xf>
    <xf numFmtId="0" fontId="0" fillId="4" borderId="1" xfId="0" applyFill="1" applyBorder="1" applyAlignment="1">
      <alignment horizontal="center" vertical="top" wrapText="1"/>
    </xf>
    <xf numFmtId="0" fontId="0" fillId="8" borderId="0" xfId="0" applyFill="1" applyAlignment="1">
      <alignment horizontal="center" vertical="top" wrapText="1"/>
    </xf>
    <xf numFmtId="0" fontId="0" fillId="8" borderId="1" xfId="0" applyFill="1" applyBorder="1" applyAlignment="1">
      <alignment horizontal="center" vertical="top" wrapText="1"/>
    </xf>
    <xf numFmtId="17" fontId="0" fillId="9" borderId="0" xfId="0" applyNumberFormat="1" applyFill="1" applyAlignment="1">
      <alignment horizontal="center" vertical="top" wrapText="1"/>
    </xf>
    <xf numFmtId="165" fontId="0" fillId="0" borderId="0" xfId="0" applyNumberFormat="1" applyAlignment="1">
      <alignment horizontal="center" vertical="top" wrapText="1"/>
    </xf>
    <xf numFmtId="2" fontId="13" fillId="0" borderId="0" xfId="0" applyNumberFormat="1" applyFont="1" applyAlignment="1">
      <alignment horizontal="center" vertical="top" wrapText="1"/>
    </xf>
    <xf numFmtId="1" fontId="0" fillId="3" borderId="0" xfId="0" applyNumberFormat="1" applyFill="1" applyAlignment="1">
      <alignment horizontal="center" vertical="top" wrapText="1"/>
    </xf>
    <xf numFmtId="17" fontId="0" fillId="0" borderId="0" xfId="0" applyNumberFormat="1" applyAlignment="1">
      <alignment horizontal="center" vertical="top" wrapText="1"/>
    </xf>
  </cellXfs>
  <cellStyles count="5">
    <cellStyle name="Comma" xfId="1" builtinId="3"/>
    <cellStyle name="Currency" xfId="2" builtinId="4"/>
    <cellStyle name="Hyperlink" xfId="3" xr:uid="{00000000-0005-0000-0000-000002000000}"/>
    <cellStyle name="Normal" xfId="0" builtinId="0"/>
    <cellStyle name="Percent" xfId="4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Benefits</a:t>
            </a:r>
            <a:r>
              <a:rPr lang="de-DE" baseline="0"/>
              <a:t> split up - </a:t>
            </a:r>
            <a:r>
              <a:rPr lang="de-DE"/>
              <a:t>Normal Winter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Graphs!$B$28:$B$30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Graphs!$C$52:$C$54</c:f>
              <c:numCache>
                <c:formatCode>_-* #,##0_-;\-* #,##0_-;_-* "-"??_-;_-@_-</c:formatCode>
                <c:ptCount val="3"/>
                <c:pt idx="0">
                  <c:v>5961.5444799093984</c:v>
                </c:pt>
                <c:pt idx="1">
                  <c:v>391.60278972509974</c:v>
                </c:pt>
                <c:pt idx="2">
                  <c:v>53.905625246123826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A3-4F85-999E-1BD37A3409F3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Graphs!$B$28:$B$30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Graphs!$D$28:$D$30</c:f>
              <c:numCache>
                <c:formatCode>_-* #,##0_-;\-* #,##0_-;_-* "-"??_-;_-@_-</c:formatCode>
                <c:ptCount val="3"/>
                <c:pt idx="0">
                  <c:v>204668.40240000002</c:v>
                </c:pt>
                <c:pt idx="1">
                  <c:v>10269.666000000001</c:v>
                </c:pt>
                <c:pt idx="2">
                  <c:v>23197.363200000003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A3-4F85-999E-1BD37A3409F3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Graphs!$B$28:$B$30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Graphs!$E$28:$E$30</c:f>
              <c:numCache>
                <c:formatCode>_-* #,##0_-;\-* #,##0_-;_-* "-"??_-;_-@_-</c:formatCode>
                <c:ptCount val="3"/>
                <c:pt idx="0">
                  <c:v>130568.43799999999</c:v>
                </c:pt>
                <c:pt idx="1">
                  <c:v>6551.5449999999992</c:v>
                </c:pt>
                <c:pt idx="2">
                  <c:v>14798.784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A3-4F85-999E-1BD37A340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49104032"/>
        <c:axId val="649104392"/>
      </c:barChart>
      <c:catAx>
        <c:axId val="64910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9104392"/>
        <c:crosses val="autoZero"/>
        <c:auto val="1"/>
        <c:lblAlgn val="ctr"/>
        <c:lblOffset val="100"/>
        <c:noMultiLvlLbl val="0"/>
      </c:catAx>
      <c:valAx>
        <c:axId val="64910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9104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multiLvlStrRef>
              <c:f>(Graphs!$A$52:$B$54,Graphs!$A$35:$B$37,Graphs!$A$42:$B$44)</c:f>
              <c:multiLvlStrCache>
                <c:ptCount val="9"/>
                <c:lvl>
                  <c:pt idx="0">
                    <c:v>avg restaurant</c:v>
                  </c:pt>
                  <c:pt idx="1">
                    <c:v>avg waiting room</c:v>
                  </c:pt>
                  <c:pt idx="2">
                    <c:v>avg office</c:v>
                  </c:pt>
                  <c:pt idx="3">
                    <c:v>restaurant</c:v>
                  </c:pt>
                  <c:pt idx="4">
                    <c:v>waiting room</c:v>
                  </c:pt>
                  <c:pt idx="5">
                    <c:v>office</c:v>
                  </c:pt>
                  <c:pt idx="6">
                    <c:v>restaurant</c:v>
                  </c:pt>
                  <c:pt idx="7">
                    <c:v>waiting room</c:v>
                  </c:pt>
                  <c:pt idx="8">
                    <c:v>office</c:v>
                  </c:pt>
                </c:lvl>
                <c:lvl>
                  <c:pt idx="0">
                    <c:v>normal winter </c:v>
                  </c:pt>
                  <c:pt idx="3">
                    <c:v>pandemic peak </c:v>
                  </c:pt>
                  <c:pt idx="6">
                    <c:v>severe pandemic </c:v>
                  </c:pt>
                </c:lvl>
              </c:multiLvlStrCache>
            </c:multiLvlStrRef>
          </c:cat>
          <c:val>
            <c:numRef>
              <c:f>(Graphs!$C$52:$C$54,Graphs!$C$35:$C$37,Graphs!$C$42:$C$44)</c:f>
              <c:numCache>
                <c:formatCode>_-* #,##0_-;\-* #,##0_-;_-* "-"??_-;_-@_-</c:formatCode>
                <c:ptCount val="9"/>
                <c:pt idx="0">
                  <c:v>5961.5444799093984</c:v>
                </c:pt>
                <c:pt idx="1">
                  <c:v>391.60278972509974</c:v>
                </c:pt>
                <c:pt idx="2">
                  <c:v>53.905625246123826</c:v>
                </c:pt>
                <c:pt idx="3">
                  <c:v>28520</c:v>
                </c:pt>
                <c:pt idx="4">
                  <c:v>1705</c:v>
                </c:pt>
                <c:pt idx="5">
                  <c:v>4959.9999999999991</c:v>
                </c:pt>
                <c:pt idx="6">
                  <c:v>326334</c:v>
                </c:pt>
                <c:pt idx="7">
                  <c:v>17071</c:v>
                </c:pt>
                <c:pt idx="8">
                  <c:v>42875.999999999993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57-4714-A602-F87B00AB8904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multiLvlStrRef>
              <c:f>(Graphs!$A$52:$B$54,Graphs!$A$35:$B$37,Graphs!$A$42:$B$44)</c:f>
              <c:multiLvlStrCache>
                <c:ptCount val="9"/>
                <c:lvl>
                  <c:pt idx="0">
                    <c:v>avg restaurant</c:v>
                  </c:pt>
                  <c:pt idx="1">
                    <c:v>avg waiting room</c:v>
                  </c:pt>
                  <c:pt idx="2">
                    <c:v>avg office</c:v>
                  </c:pt>
                  <c:pt idx="3">
                    <c:v>restaurant</c:v>
                  </c:pt>
                  <c:pt idx="4">
                    <c:v>waiting room</c:v>
                  </c:pt>
                  <c:pt idx="5">
                    <c:v>office</c:v>
                  </c:pt>
                  <c:pt idx="6">
                    <c:v>restaurant</c:v>
                  </c:pt>
                  <c:pt idx="7">
                    <c:v>waiting room</c:v>
                  </c:pt>
                  <c:pt idx="8">
                    <c:v>office</c:v>
                  </c:pt>
                </c:lvl>
                <c:lvl>
                  <c:pt idx="0">
                    <c:v>normal winter </c:v>
                  </c:pt>
                  <c:pt idx="3">
                    <c:v>pandemic peak </c:v>
                  </c:pt>
                  <c:pt idx="6">
                    <c:v>severe pandemic </c:v>
                  </c:pt>
                </c:lvl>
              </c:multiLvlStrCache>
            </c:multiLvlStrRef>
          </c:cat>
          <c:val>
            <c:numRef>
              <c:f>(Graphs!$D$28:$D$30,Graphs!$D$35:$D$37,Graphs!$D$42:$D$44)</c:f>
              <c:numCache>
                <c:formatCode>_-* #,##0_-;\-* #,##0_-;_-* "-"??_-;_-@_-</c:formatCode>
                <c:ptCount val="9"/>
                <c:pt idx="0">
                  <c:v>204668.40240000002</c:v>
                </c:pt>
                <c:pt idx="1">
                  <c:v>10269.666000000001</c:v>
                </c:pt>
                <c:pt idx="2">
                  <c:v>23197.363200000003</c:v>
                </c:pt>
                <c:pt idx="3">
                  <c:v>34776</c:v>
                </c:pt>
                <c:pt idx="4">
                  <c:v>2079</c:v>
                </c:pt>
                <c:pt idx="5">
                  <c:v>6047.9999999999991</c:v>
                </c:pt>
                <c:pt idx="6">
                  <c:v>307756.80000000005</c:v>
                </c:pt>
                <c:pt idx="7">
                  <c:v>16099.2</c:v>
                </c:pt>
                <c:pt idx="8">
                  <c:v>40435.199999999997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57-4714-A602-F87B00AB8904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multiLvlStrRef>
              <c:f>(Graphs!$A$52:$B$54,Graphs!$A$35:$B$37,Graphs!$A$42:$B$44)</c:f>
              <c:multiLvlStrCache>
                <c:ptCount val="9"/>
                <c:lvl>
                  <c:pt idx="0">
                    <c:v>avg restaurant</c:v>
                  </c:pt>
                  <c:pt idx="1">
                    <c:v>avg waiting room</c:v>
                  </c:pt>
                  <c:pt idx="2">
                    <c:v>avg office</c:v>
                  </c:pt>
                  <c:pt idx="3">
                    <c:v>restaurant</c:v>
                  </c:pt>
                  <c:pt idx="4">
                    <c:v>waiting room</c:v>
                  </c:pt>
                  <c:pt idx="5">
                    <c:v>office</c:v>
                  </c:pt>
                  <c:pt idx="6">
                    <c:v>restaurant</c:v>
                  </c:pt>
                  <c:pt idx="7">
                    <c:v>waiting room</c:v>
                  </c:pt>
                  <c:pt idx="8">
                    <c:v>office</c:v>
                  </c:pt>
                </c:lvl>
                <c:lvl>
                  <c:pt idx="0">
                    <c:v>normal winter </c:v>
                  </c:pt>
                  <c:pt idx="3">
                    <c:v>pandemic peak </c:v>
                  </c:pt>
                  <c:pt idx="6">
                    <c:v>severe pandemic </c:v>
                  </c:pt>
                </c:lvl>
              </c:multiLvlStrCache>
            </c:multiLvlStrRef>
          </c:cat>
          <c:val>
            <c:numRef>
              <c:f>(Graphs!$E$28:$E$30,Graphs!$E$35:$E$37,Graphs!$E$42:$E$44)</c:f>
              <c:numCache>
                <c:formatCode>_-* #,##0_-;\-* #,##0_-;_-* "-"??_-;_-@_-</c:formatCode>
                <c:ptCount val="9"/>
                <c:pt idx="0">
                  <c:v>130568.43799999999</c:v>
                </c:pt>
                <c:pt idx="1">
                  <c:v>6551.5449999999992</c:v>
                </c:pt>
                <c:pt idx="2">
                  <c:v>14798.784</c:v>
                </c:pt>
                <c:pt idx="3">
                  <c:v>438177.6</c:v>
                </c:pt>
                <c:pt idx="4">
                  <c:v>26195.399999999994</c:v>
                </c:pt>
                <c:pt idx="5">
                  <c:v>76204.799999999974</c:v>
                </c:pt>
                <c:pt idx="6">
                  <c:v>23148342</c:v>
                </c:pt>
                <c:pt idx="7">
                  <c:v>1210923</c:v>
                </c:pt>
                <c:pt idx="8">
                  <c:v>3041387.9999999995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57-4714-A602-F87B00AB8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2665624"/>
        <c:axId val="682669224"/>
        <c:axId val="545553472"/>
      </c:bar3DChart>
      <c:catAx>
        <c:axId val="682665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2669224"/>
        <c:crosses val="autoZero"/>
        <c:auto val="1"/>
        <c:lblAlgn val="ctr"/>
        <c:lblOffset val="100"/>
        <c:noMultiLvlLbl val="0"/>
      </c:catAx>
      <c:valAx>
        <c:axId val="682669224"/>
        <c:scaling>
          <c:orientation val="minMax"/>
          <c:max val="1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2665624"/>
        <c:crosses val="autoZero"/>
        <c:crossBetween val="between"/>
      </c:valAx>
      <c:serAx>
        <c:axId val="545553472"/>
        <c:scaling>
          <c:orientation val="minMax"/>
        </c:scaling>
        <c:delete val="1"/>
        <c:axPos val="b"/>
        <c:majorTickMark val="none"/>
        <c:minorTickMark val="none"/>
        <c:tickLblPos val="nextTo"/>
        <c:crossAx val="682669224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Restaurants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27081650119821976"/>
          <c:y val="0.18434540389972148"/>
          <c:w val="0.49508045190003425"/>
          <c:h val="0.5074919395521242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092B-4974-8EB5-5746753395F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92B-4974-8EB5-5746753395F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92B-4974-8EB5-5746753395F4}"/>
              </c:ext>
            </c:extLst>
          </c:dPt>
          <c:dLbls>
            <c:dLbl>
              <c:idx val="1"/>
              <c:layout>
                <c:manualLayout>
                  <c:x val="0.19269102990033224"/>
                  <c:y val="8.35654596100278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B-4974-8EB5-5746753395F4}"/>
                </c:ext>
              </c:extLst>
            </c:dLbl>
            <c:dLbl>
              <c:idx val="2"/>
              <c:layout>
                <c:manualLayout>
                  <c:x val="-0.15946843853820597"/>
                  <c:y val="-0.150417827298050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B-4974-8EB5-5746753395F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Graphs!$C$27:$E$27</c:f>
              <c:strCache>
                <c:ptCount val="3"/>
                <c:pt idx="0">
                  <c:v>Benefits health care system</c:v>
                </c:pt>
                <c:pt idx="1">
                  <c:v>Benefits national economy</c:v>
                </c:pt>
                <c:pt idx="2">
                  <c:v>intangible benefits</c:v>
                </c:pt>
              </c:strCache>
            </c:strRef>
          </c:cat>
          <c:val>
            <c:numRef>
              <c:f>Graphs!$C$28:$E$28</c:f>
              <c:numCache>
                <c:formatCode>_-* #,##0_-;\-* #,##0_-;_-* "-"??_-;_-@_-</c:formatCode>
                <c:ptCount val="3"/>
                <c:pt idx="0">
                  <c:v>5753.6585450710299</c:v>
                </c:pt>
                <c:pt idx="1">
                  <c:v>204668.40240000002</c:v>
                </c:pt>
                <c:pt idx="2">
                  <c:v>130568.43799999999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2B-4974-8EB5-574675339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Waiting</a:t>
            </a:r>
            <a:r>
              <a:rPr lang="de-DE" baseline="0"/>
              <a:t> rooms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123878289917317"/>
          <c:y val="6.7731092436974796E-2"/>
          <c:w val="0.76698224974842566"/>
          <c:h val="0.8153214671695449"/>
        </c:manualLayout>
      </c:layout>
      <c:doughnutChart>
        <c:varyColors val="1"/>
        <c:ser>
          <c:idx val="0"/>
          <c:order val="0"/>
          <c:tx>
            <c:strRef>
              <c:f>Graphs!$B$53</c:f>
              <c:strCache>
                <c:ptCount val="1"/>
                <c:pt idx="0">
                  <c:v>avg waiting room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191-43B3-85F0-58375C31D38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191-43B3-85F0-58375C31D38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191-43B3-85F0-58375C31D386}"/>
              </c:ext>
            </c:extLst>
          </c:dPt>
          <c:dLbls>
            <c:dLbl>
              <c:idx val="0"/>
              <c:layout>
                <c:manualLayout>
                  <c:x val="0.16315789473684211"/>
                  <c:y val="-3.9381153305203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191-43B3-85F0-58375C31D386}"/>
                </c:ext>
              </c:extLst>
            </c:dLbl>
            <c:dLbl>
              <c:idx val="1"/>
              <c:layout>
                <c:manualLayout>
                  <c:x val="0.14229249011857709"/>
                  <c:y val="0.106814840665692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191-43B3-85F0-58375C31D386}"/>
                </c:ext>
              </c:extLst>
            </c:dLbl>
            <c:dLbl>
              <c:idx val="2"/>
              <c:layout>
                <c:manualLayout>
                  <c:x val="-0.10540184453227931"/>
                  <c:y val="-0.128851540616246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191-43B3-85F0-58375C31D38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val>
            <c:numRef>
              <c:f>Graphs!$C$29:$E$29</c:f>
              <c:numCache>
                <c:formatCode>_-* #,##0_-;\-* #,##0_-;_-* "-"??_-;_-@_-</c:formatCode>
                <c:ptCount val="3"/>
                <c:pt idx="0">
                  <c:v>288.70187504783797</c:v>
                </c:pt>
                <c:pt idx="1">
                  <c:v>10269.666000000001</c:v>
                </c:pt>
                <c:pt idx="2">
                  <c:v>6551.5449999999992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91-43B3-85F0-58375C31D386}"/>
            </c:ext>
          </c:extLst>
        </c:ser>
        <c:ser>
          <c:idx val="1"/>
          <c:order val="1"/>
          <c:tx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137-45EE-92C3-815C02E7CB0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137-45EE-92C3-815C02E7CB05}"/>
              </c:ext>
            </c:extLst>
          </c:dPt>
          <c:val>
            <c:numRef>
              <c:f>Graphs!$D$27:$E$27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91-43B3-85F0-58375C31D3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38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Offices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27601287574902195"/>
          <c:y val="0.20379120879120879"/>
          <c:w val="0.50332016045164163"/>
          <c:h val="0.5496422081855152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C36-47E4-9150-29883C493CF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C36-47E4-9150-29883C493CF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C36-47E4-9150-29883C493CF8}"/>
              </c:ext>
            </c:extLst>
          </c:dPt>
          <c:dLbls>
            <c:dLbl>
              <c:idx val="1"/>
              <c:layout>
                <c:manualLayout>
                  <c:x val="0.1257861635220125"/>
                  <c:y val="0.11538461538461539"/>
                </c:manualLayout>
              </c:layout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AC36-47E4-9150-29883C493CF8}"/>
                </c:ext>
              </c:extLst>
            </c:dLbl>
            <c:dLbl>
              <c:idx val="2"/>
              <c:layout>
                <c:manualLayout>
                  <c:x val="-0.16603773584905662"/>
                  <c:y val="-1.6483516483516484E-2"/>
                </c:manualLayout>
              </c:layout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AC36-47E4-9150-29883C493C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Graphs!$C$30:$E$30</c:f>
              <c:numCache>
                <c:formatCode>_-* #,##0_-;\-* #,##0_-;_-* "-"??_-;_-@_-</c:formatCode>
                <c:ptCount val="3"/>
                <c:pt idx="0">
                  <c:v>652.12658834335173</c:v>
                </c:pt>
                <c:pt idx="1">
                  <c:v>23197.363200000003</c:v>
                </c:pt>
                <c:pt idx="2">
                  <c:v>14798.784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36-47E4-9150-29883C493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Benefits/Costs ratio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Graphs!$J$116</c:f>
              <c:strCache>
                <c:ptCount val="1"/>
                <c:pt idx="0">
                  <c:v>Irish Pub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Graphs!$J$117:$J$119</c:f>
              <c:numCache>
                <c:formatCode>_-* #,##0_-;\-* #,##0_-;_-* "-"??_-;_-@_-</c:formatCode>
                <c:ptCount val="3"/>
                <c:pt idx="0">
                  <c:v>400.83617674087418</c:v>
                </c:pt>
                <c:pt idx="1">
                  <c:v>13158.169147855642</c:v>
                </c:pt>
                <c:pt idx="2">
                  <c:v>31165.960228633547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11-468C-BC59-4EDDD5DFBC88}"/>
            </c:ext>
          </c:extLst>
        </c:ser>
        <c:ser>
          <c:idx val="1"/>
          <c:order val="1"/>
          <c:tx>
            <c:strRef>
              <c:f>Graphs!$K$116</c:f>
              <c:strCache>
                <c:ptCount val="1"/>
                <c:pt idx="0">
                  <c:v>fast food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Graphs!$K$117:$K$119</c:f>
              <c:numCache>
                <c:formatCode>_-* #,##0_-;\-* #,##0_-;_-* "-"??_-;_-@_-</c:formatCode>
                <c:ptCount val="3"/>
                <c:pt idx="0">
                  <c:v>434.42412077288139</c:v>
                </c:pt>
                <c:pt idx="1">
                  <c:v>725.6043932702562</c:v>
                </c:pt>
                <c:pt idx="2">
                  <c:v>30562.335946480052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11-468C-BC59-4EDDD5DFBC88}"/>
            </c:ext>
          </c:extLst>
        </c:ser>
        <c:ser>
          <c:idx val="2"/>
          <c:order val="2"/>
          <c:tx>
            <c:strRef>
              <c:f>Graphs!$L$116</c:f>
              <c:strCache>
                <c:ptCount val="1"/>
                <c:pt idx="0">
                  <c:v>Queue fast food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Graphs!$L$117:$L$119</c:f>
              <c:numCache>
                <c:formatCode>_-* #,##0_-;\-* #,##0_-;_-* "-"??_-;_-@_-</c:formatCode>
                <c:ptCount val="3"/>
                <c:pt idx="0">
                  <c:v>305.39997336969788</c:v>
                </c:pt>
                <c:pt idx="1">
                  <c:v>516.86888287744284</c:v>
                </c:pt>
                <c:pt idx="2">
                  <c:v>21939.485338629343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11-468C-BC59-4EDDD5DFBC88}"/>
            </c:ext>
          </c:extLst>
        </c:ser>
        <c:ser>
          <c:idx val="3"/>
          <c:order val="3"/>
          <c:tx>
            <c:strRef>
              <c:f>Graphs!$M$116</c:f>
              <c:strCache>
                <c:ptCount val="1"/>
                <c:pt idx="0">
                  <c:v>medium restaurant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Graphs!$M$117:$M$119</c:f>
              <c:numCache>
                <c:formatCode>_-* #,##0_-;\-* #,##0_-;_-* "-"??_-;_-@_-</c:formatCode>
                <c:ptCount val="3"/>
                <c:pt idx="0">
                  <c:v>294</c:v>
                </c:pt>
                <c:pt idx="1">
                  <c:v>9606.5606867382412</c:v>
                </c:pt>
                <c:pt idx="2">
                  <c:v>20469.477605376935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11-468C-BC59-4EDDD5DFBC88}"/>
            </c:ext>
          </c:extLst>
        </c:ser>
        <c:ser>
          <c:idx val="4"/>
          <c:order val="4"/>
          <c:tx>
            <c:strRef>
              <c:f>Graphs!$N$116</c:f>
              <c:strCache>
                <c:ptCount val="1"/>
                <c:pt idx="0">
                  <c:v>Waiting room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Graphs!$N$117:$N$119</c:f>
              <c:numCache>
                <c:formatCode>_-* #,##0_-;\-* #,##0_-;_-* "-"??_-;_-@_-</c:formatCode>
                <c:ptCount val="3"/>
                <c:pt idx="0">
                  <c:v>62.556900653753409</c:v>
                </c:pt>
                <c:pt idx="1">
                  <c:v>146.59385602215391</c:v>
                </c:pt>
                <c:pt idx="2">
                  <c:v>4839.6878095799066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11-468C-BC59-4EDDD5DFBC88}"/>
            </c:ext>
          </c:extLst>
        </c:ser>
        <c:ser>
          <c:idx val="5"/>
          <c:order val="5"/>
          <c:tx>
            <c:strRef>
              <c:f>Graphs!$O$116</c:f>
              <c:strCache>
                <c:ptCount val="1"/>
                <c:pt idx="0">
                  <c:v>Neuro Göppingen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Graphs!$O$117:$O$119</c:f>
              <c:numCache>
                <c:formatCode>_-* #,##0_-;\-* #,##0_-;_-* "-"??_-;_-@_-</c:formatCode>
                <c:ptCount val="3"/>
                <c:pt idx="0">
                  <c:v>57.744831372695451</c:v>
                </c:pt>
                <c:pt idx="1">
                  <c:v>97.729237348102615</c:v>
                </c:pt>
                <c:pt idx="2">
                  <c:v>4148.3038367827776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611-468C-BC59-4EDDD5DFBC88}"/>
            </c:ext>
          </c:extLst>
        </c:ser>
        <c:ser>
          <c:idx val="6"/>
          <c:order val="6"/>
          <c:tx>
            <c:strRef>
              <c:f>Graphs!$P$116</c:f>
              <c:strCache>
                <c:ptCount val="1"/>
                <c:pt idx="0">
                  <c:v>Neuro Dortmund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Graphs!$P$117:$P$119</c:f>
              <c:numCache>
                <c:formatCode>_-* #,##0_-;\-* #,##0_-;_-* "-"??_-;_-@_-</c:formatCode>
                <c:ptCount val="3"/>
                <c:pt idx="0">
                  <c:v>240.60346405289772</c:v>
                </c:pt>
                <c:pt idx="1">
                  <c:v>407.20515561709431</c:v>
                </c:pt>
                <c:pt idx="2">
                  <c:v>17284.599319928242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11-468C-BC59-4EDDD5DFBC88}"/>
            </c:ext>
          </c:extLst>
        </c:ser>
        <c:ser>
          <c:idx val="7"/>
          <c:order val="7"/>
          <c:tx>
            <c:strRef>
              <c:f>Graphs!$Q$116</c:f>
              <c:strCache>
                <c:ptCount val="1"/>
                <c:pt idx="0">
                  <c:v>Warteraum Thun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Graphs!$Q$117:$Q$119</c:f>
              <c:numCache>
                <c:formatCode>_-* #,##0_-;\-* #,##0_-;_-* "-"??_-;_-@_-</c:formatCode>
                <c:ptCount val="3"/>
                <c:pt idx="0">
                  <c:v>9.5437491678030533</c:v>
                </c:pt>
                <c:pt idx="1">
                  <c:v>12.921722071936067</c:v>
                </c:pt>
                <c:pt idx="2">
                  <c:v>685.60891683216687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611-468C-BC59-4EDDD5DFBC88}"/>
            </c:ext>
          </c:extLst>
        </c:ser>
        <c:ser>
          <c:idx val="8"/>
          <c:order val="8"/>
          <c:tx>
            <c:strRef>
              <c:f>Graphs!$R$116</c:f>
              <c:strCache>
                <c:ptCount val="1"/>
                <c:pt idx="0">
                  <c:v>Frankfurt 5.17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Graphs!$R$117:$R$119</c:f>
              <c:numCache>
                <c:formatCode>_-* #,##0_-;\-* #,##0_-;_-* "-"??_-;_-@_-</c:formatCode>
                <c:ptCount val="3"/>
                <c:pt idx="0">
                  <c:v>4.8120692810579548</c:v>
                </c:pt>
                <c:pt idx="1">
                  <c:v>158.20011436527267</c:v>
                </c:pt>
                <c:pt idx="2">
                  <c:v>414.83038367827771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611-468C-BC59-4EDDD5DFBC88}"/>
            </c:ext>
          </c:extLst>
        </c:ser>
        <c:ser>
          <c:idx val="9"/>
          <c:order val="9"/>
          <c:tx>
            <c:strRef>
              <c:f>Graphs!$S$116</c:f>
              <c:strCache>
                <c:ptCount val="1"/>
                <c:pt idx="0">
                  <c:v>Frankfurt 5.08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Graphs!$S$117:$S$119</c:f>
              <c:numCache>
                <c:formatCode>_-* #,##0_-;\-* #,##0_-;_-* "-"??_-;_-@_-</c:formatCode>
                <c:ptCount val="3"/>
                <c:pt idx="0">
                  <c:v>28.872415686347736</c:v>
                </c:pt>
                <c:pt idx="1">
                  <c:v>947.55596822251869</c:v>
                </c:pt>
                <c:pt idx="2">
                  <c:v>2333.4209081903123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11-468C-BC59-4EDDD5DFBC88}"/>
            </c:ext>
          </c:extLst>
        </c:ser>
        <c:ser>
          <c:idx val="10"/>
          <c:order val="10"/>
          <c:tx>
            <c:strRef>
              <c:f>Graphs!$T$116</c:f>
              <c:strCache>
                <c:ptCount val="1"/>
                <c:pt idx="0">
                  <c:v>Frankfurt 5.16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Graphs!$I$117:$I$119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Graphs!$T$117:$T$119</c:f>
              <c:numCache>
                <c:formatCode>_-* #,##0_-;\-* #,##0_-;_-* "-"??_-;_-@_-</c:formatCode>
                <c:ptCount val="3"/>
                <c:pt idx="0">
                  <c:v>18.04525980396733</c:v>
                </c:pt>
                <c:pt idx="1">
                  <c:v>592.22248013907415</c:v>
                </c:pt>
                <c:pt idx="2">
                  <c:v>1728.4599319928238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11-468C-BC59-4EDDD5DFBC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09299048"/>
        <c:axId val="1009301568"/>
      </c:barChart>
      <c:catAx>
        <c:axId val="1009299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09301568"/>
        <c:crosses val="autoZero"/>
        <c:auto val="1"/>
        <c:lblAlgn val="ctr"/>
        <c:lblOffset val="100"/>
        <c:noMultiLvlLbl val="0"/>
      </c:catAx>
      <c:valAx>
        <c:axId val="1009301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09299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Benefits-to-Costs</a:t>
            </a:r>
            <a:r>
              <a:rPr lang="de-DE" baseline="0"/>
              <a:t> Ratio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Graphs!$J$111</c:f>
              <c:strCache>
                <c:ptCount val="1"/>
                <c:pt idx="0">
                  <c:v>restaurant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Graphs!$I$112:$I$114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Graphs!$J$112:$J$114</c:f>
              <c:numCache>
                <c:formatCode>_-* #,##0_-;\-* #,##0_-;_-* "-"??_-;_-@_-</c:formatCode>
                <c:ptCount val="3"/>
                <c:pt idx="0">
                  <c:v>290</c:v>
                </c:pt>
                <c:pt idx="1">
                  <c:v>9610</c:v>
                </c:pt>
                <c:pt idx="2">
                  <c:v>20470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B-4185-8D9A-4F9BCA0EB83B}"/>
            </c:ext>
          </c:extLst>
        </c:ser>
        <c:ser>
          <c:idx val="1"/>
          <c:order val="1"/>
          <c:tx>
            <c:strRef>
              <c:f>Graphs!$K$111</c:f>
              <c:strCache>
                <c:ptCount val="1"/>
                <c:pt idx="0">
                  <c:v>waiting room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Graphs!$I$112:$I$114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Graphs!$K$112:$K$114</c:f>
              <c:numCache>
                <c:formatCode>_-* #,##0_-;\-* #,##0_-;_-* "-"??_-;_-@_-</c:formatCode>
                <c:ptCount val="3"/>
                <c:pt idx="0">
                  <c:v>90</c:v>
                </c:pt>
                <c:pt idx="1">
                  <c:v>170</c:v>
                </c:pt>
                <c:pt idx="2">
                  <c:v>6740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CB-4185-8D9A-4F9BCA0EB83B}"/>
            </c:ext>
          </c:extLst>
        </c:ser>
        <c:ser>
          <c:idx val="2"/>
          <c:order val="2"/>
          <c:tx>
            <c:strRef>
              <c:f>Graphs!$L$111</c:f>
              <c:strCache>
                <c:ptCount val="1"/>
                <c:pt idx="0">
                  <c:v>office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Graphs!$I$112:$I$114</c:f>
              <c:strCache>
                <c:ptCount val="3"/>
                <c:pt idx="0">
                  <c:v>normal winter</c:v>
                </c:pt>
                <c:pt idx="1">
                  <c:v>covid-like pandemic peak</c:v>
                </c:pt>
                <c:pt idx="2">
                  <c:v>severe pandemic</c:v>
                </c:pt>
              </c:strCache>
            </c:strRef>
          </c:cat>
          <c:val>
            <c:numRef>
              <c:f>Graphs!$L$112:$L$114</c:f>
              <c:numCache>
                <c:formatCode>_-* #,##0_-;\-* #,##0_-;_-* "-"??_-;_-@_-</c:formatCode>
                <c:ptCount val="3"/>
                <c:pt idx="0">
                  <c:v>30</c:v>
                </c:pt>
                <c:pt idx="1">
                  <c:v>950</c:v>
                </c:pt>
                <c:pt idx="2">
                  <c:v>2330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CB-4185-8D9A-4F9BCA0EB8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09316688"/>
        <c:axId val="1009317768"/>
      </c:barChart>
      <c:catAx>
        <c:axId val="100931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09317768"/>
        <c:crossesAt val="0"/>
        <c:auto val="1"/>
        <c:lblAlgn val="ctr"/>
        <c:lblOffset val="100"/>
        <c:noMultiLvlLbl val="0"/>
      </c:catAx>
      <c:valAx>
        <c:axId val="1009317768"/>
        <c:scaling>
          <c:orientation val="minMax"/>
          <c:max val="21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09316688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Waiting Room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Graphs!$A$28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Graphs!$C$41:$E$41</c:f>
              <c:strCache>
                <c:ptCount val="3"/>
                <c:pt idx="0">
                  <c:v> Benefits health care system </c:v>
                </c:pt>
                <c:pt idx="1">
                  <c:v> Benefits national economy </c:v>
                </c:pt>
                <c:pt idx="2">
                  <c:v> intangible benefits </c:v>
                </c:pt>
              </c:strCache>
            </c:strRef>
          </c:cat>
          <c:val>
            <c:numRef>
              <c:f>Graphs!$C$29:$E$29</c:f>
              <c:numCache>
                <c:formatCode>_-* #,##0_-;\-* #,##0_-;_-* "-"??_-;_-@_-</c:formatCode>
                <c:ptCount val="3"/>
                <c:pt idx="0">
                  <c:v>288.70187504783797</c:v>
                </c:pt>
                <c:pt idx="1">
                  <c:v>10269.666000000001</c:v>
                </c:pt>
                <c:pt idx="2">
                  <c:v>6551.5449999999992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1-46FC-8BB1-6FFD5916003A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Graphs!$C$41:$E$41</c:f>
              <c:strCache>
                <c:ptCount val="3"/>
                <c:pt idx="0">
                  <c:v> Benefits health care system </c:v>
                </c:pt>
                <c:pt idx="1">
                  <c:v> Benefits national economy </c:v>
                </c:pt>
                <c:pt idx="2">
                  <c:v> intangible benefits </c:v>
                </c:pt>
              </c:strCache>
            </c:strRef>
          </c:cat>
          <c:val>
            <c:numRef>
              <c:f>Graphs!$C$36:$E$36</c:f>
              <c:numCache>
                <c:formatCode>_-* #,##0_-;\-* #,##0_-;_-* "-"??_-;_-@_-</c:formatCode>
                <c:ptCount val="3"/>
                <c:pt idx="0">
                  <c:v>1705</c:v>
                </c:pt>
                <c:pt idx="1">
                  <c:v>2079</c:v>
                </c:pt>
                <c:pt idx="2">
                  <c:v>26195.399999999994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1-46FC-8BB1-6FFD5916003A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Graphs!$C$41:$E$41</c:f>
              <c:strCache>
                <c:ptCount val="3"/>
                <c:pt idx="0">
                  <c:v> Benefits health care system </c:v>
                </c:pt>
                <c:pt idx="1">
                  <c:v> Benefits national economy </c:v>
                </c:pt>
                <c:pt idx="2">
                  <c:v> intangible benefits </c:v>
                </c:pt>
              </c:strCache>
            </c:strRef>
          </c:cat>
          <c:val>
            <c:numRef>
              <c:f>Graphs!$C$43:$E$43</c:f>
              <c:numCache>
                <c:formatCode>_-* #,##0_-;\-* #,##0_-;_-* "-"??_-;_-@_-</c:formatCode>
                <c:ptCount val="3"/>
                <c:pt idx="0">
                  <c:v>17071</c:v>
                </c:pt>
                <c:pt idx="1">
                  <c:v>16099.2</c:v>
                </c:pt>
                <c:pt idx="2">
                  <c:v>1210923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1-46FC-8BB1-6FFD59160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71212800"/>
        <c:axId val="1071208840"/>
      </c:barChart>
      <c:catAx>
        <c:axId val="10712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08840"/>
        <c:crosses val="autoZero"/>
        <c:auto val="1"/>
        <c:lblAlgn val="ctr"/>
        <c:lblOffset val="100"/>
        <c:noMultiLvlLbl val="0"/>
      </c:catAx>
      <c:valAx>
        <c:axId val="1071208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12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Waiting</a:t>
            </a:r>
            <a:r>
              <a:rPr lang="de-DE" baseline="0"/>
              <a:t> Room</a:t>
            </a:r>
            <a:r>
              <a:rPr lang="de-DE"/>
              <a:t> Benefits</a:t>
            </a:r>
            <a:r>
              <a:rPr lang="de-DE" baseline="0"/>
              <a:t> health care system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Graphs!$A$28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cat>
          <c:val>
            <c:numRef>
              <c:f>Graphs!$C$29</c:f>
              <c:numCache>
                <c:formatCode>_-* #,##0_-;\-* #,##0_-;_-* "-"??_-;_-@_-</c:formatCode>
                <c:ptCount val="1"/>
                <c:pt idx="0">
                  <c:v>288.70187504783797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78-4682-9FB3-E552A144AC18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cat>
          <c:val>
            <c:numRef>
              <c:f>Graphs!$C$36</c:f>
              <c:numCache>
                <c:formatCode>_-* #,##0_-;\-* #,##0_-;_-* "-"??_-;_-@_-</c:formatCode>
                <c:ptCount val="1"/>
                <c:pt idx="0">
                  <c:v>1705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78-4682-9FB3-E552A144AC18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cat>
          <c:val>
            <c:numRef>
              <c:f>Graphs!$C$43</c:f>
              <c:numCache>
                <c:formatCode>_-* #,##0_-;\-* #,##0_-;_-* "-"??_-;_-@_-</c:formatCode>
                <c:ptCount val="1"/>
                <c:pt idx="0">
                  <c:v>17071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78-4682-9FB3-E552A144AC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1259960"/>
        <c:axId val="1071260680"/>
      </c:barChart>
      <c:catAx>
        <c:axId val="1071259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60680"/>
        <c:crosses val="autoZero"/>
        <c:auto val="1"/>
        <c:lblAlgn val="ctr"/>
        <c:lblOffset val="100"/>
        <c:noMultiLvlLbl val="0"/>
      </c:catAx>
      <c:valAx>
        <c:axId val="1071260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59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Waiting</a:t>
            </a:r>
            <a:r>
              <a:rPr lang="de-DE" baseline="0"/>
              <a:t> Room</a:t>
            </a:r>
            <a:r>
              <a:rPr lang="de-DE"/>
              <a:t> Benefits</a:t>
            </a:r>
            <a:r>
              <a:rPr lang="de-DE" baseline="0"/>
              <a:t> national economy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Graphs!$A$28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cat>
          <c:val>
            <c:numRef>
              <c:f>Graphs!$D$29</c:f>
              <c:numCache>
                <c:formatCode>_-* #,##0_-;\-* #,##0_-;_-* "-"??_-;_-@_-</c:formatCode>
                <c:ptCount val="1"/>
                <c:pt idx="0">
                  <c:v>10269.666000000001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5F-451B-9086-D278F2211726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cat>
          <c:val>
            <c:numRef>
              <c:f>Graphs!$D$36</c:f>
              <c:numCache>
                <c:formatCode>_-* #,##0_-;\-* #,##0_-;_-* "-"??_-;_-@_-</c:formatCode>
                <c:ptCount val="1"/>
                <c:pt idx="0">
                  <c:v>2079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5F-451B-9086-D278F2211726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cat>
          <c:val>
            <c:numRef>
              <c:f>Graphs!$D$43</c:f>
              <c:numCache>
                <c:formatCode>_-* #,##0_-;\-* #,##0_-;_-* "-"??_-;_-@_-</c:formatCode>
                <c:ptCount val="1"/>
                <c:pt idx="0">
                  <c:v>16099.2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5F-451B-9086-D278F2211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1259960"/>
        <c:axId val="1071260680"/>
      </c:barChart>
      <c:catAx>
        <c:axId val="1071259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60680"/>
        <c:crosses val="autoZero"/>
        <c:auto val="1"/>
        <c:lblAlgn val="ctr"/>
        <c:lblOffset val="100"/>
        <c:noMultiLvlLbl val="0"/>
      </c:catAx>
      <c:valAx>
        <c:axId val="1071260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59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Office </a:t>
            </a:r>
            <a:r>
              <a:rPr lang="en-US" baseline="0"/>
              <a:t>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Graphs!$A$28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Graphs!$C$41:$E$41</c:f>
              <c:strCache>
                <c:ptCount val="3"/>
                <c:pt idx="0">
                  <c:v> Benefits health care system </c:v>
                </c:pt>
                <c:pt idx="1">
                  <c:v> Benefits national economy </c:v>
                </c:pt>
                <c:pt idx="2">
                  <c:v> intangible benefits </c:v>
                </c:pt>
              </c:strCache>
            </c:strRef>
          </c:cat>
          <c:val>
            <c:numRef>
              <c:f>Graphs!$C$30:$E$30</c:f>
              <c:numCache>
                <c:formatCode>_-* #,##0_-;\-* #,##0_-;_-* "-"??_-;_-@_-</c:formatCode>
                <c:ptCount val="3"/>
                <c:pt idx="0">
                  <c:v>652.12658834335173</c:v>
                </c:pt>
                <c:pt idx="1">
                  <c:v>23197.363200000003</c:v>
                </c:pt>
                <c:pt idx="2">
                  <c:v>14798.784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E5-43C7-8B41-CADE8B84AE62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Graphs!$C$41:$E$41</c:f>
              <c:strCache>
                <c:ptCount val="3"/>
                <c:pt idx="0">
                  <c:v> Benefits health care system </c:v>
                </c:pt>
                <c:pt idx="1">
                  <c:v> Benefits national economy </c:v>
                </c:pt>
                <c:pt idx="2">
                  <c:v> intangible benefits </c:v>
                </c:pt>
              </c:strCache>
            </c:strRef>
          </c:cat>
          <c:val>
            <c:numRef>
              <c:f>Graphs!$C$37:$E$37</c:f>
              <c:numCache>
                <c:formatCode>_-* #,##0_-;\-* #,##0_-;_-* "-"??_-;_-@_-</c:formatCode>
                <c:ptCount val="3"/>
                <c:pt idx="0">
                  <c:v>4959.9999999999991</c:v>
                </c:pt>
                <c:pt idx="1">
                  <c:v>6047.9999999999991</c:v>
                </c:pt>
                <c:pt idx="2">
                  <c:v>76204.799999999974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E5-43C7-8B41-CADE8B84AE62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Graphs!$C$41:$E$41</c:f>
              <c:strCache>
                <c:ptCount val="3"/>
                <c:pt idx="0">
                  <c:v> Benefits health care system </c:v>
                </c:pt>
                <c:pt idx="1">
                  <c:v> Benefits national economy </c:v>
                </c:pt>
                <c:pt idx="2">
                  <c:v> intangible benefits </c:v>
                </c:pt>
              </c:strCache>
            </c:strRef>
          </c:cat>
          <c:val>
            <c:numRef>
              <c:f>Graphs!$C$44:$E$44</c:f>
              <c:numCache>
                <c:formatCode>_-* #,##0_-;\-* #,##0_-;_-* "-"??_-;_-@_-</c:formatCode>
                <c:ptCount val="3"/>
                <c:pt idx="0">
                  <c:v>42875.999999999993</c:v>
                </c:pt>
                <c:pt idx="1">
                  <c:v>40435.199999999997</c:v>
                </c:pt>
                <c:pt idx="2">
                  <c:v>3041387.9999999995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E5-43C7-8B41-CADE8B84AE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71212800"/>
        <c:axId val="1071208840"/>
      </c:barChart>
      <c:catAx>
        <c:axId val="10712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08840"/>
        <c:crosses val="autoZero"/>
        <c:auto val="1"/>
        <c:lblAlgn val="ctr"/>
        <c:lblOffset val="100"/>
        <c:noMultiLvlLbl val="0"/>
      </c:catAx>
      <c:valAx>
        <c:axId val="1071208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12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Benefits split up - </a:t>
            </a:r>
            <a:r>
              <a:rPr lang="de-DE"/>
              <a:t>Pandemic Peak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Graphs!$C$34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Graphs!$B$35:$B$37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Graphs!$C$35:$C$37</c:f>
              <c:numCache>
                <c:formatCode>_-* #,##0_-;\-* #,##0_-;_-* "-"??_-;_-@_-</c:formatCode>
                <c:ptCount val="3"/>
                <c:pt idx="0">
                  <c:v>28520</c:v>
                </c:pt>
                <c:pt idx="1">
                  <c:v>1705</c:v>
                </c:pt>
                <c:pt idx="2">
                  <c:v>4959.9999999999991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75-47EC-96A9-D13B8551F896}"/>
            </c:ext>
          </c:extLst>
        </c:ser>
        <c:ser>
          <c:idx val="1"/>
          <c:order val="1"/>
          <c:tx>
            <c:strRef>
              <c:f>Graphs!$D$34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Graphs!$B$35:$B$37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Graphs!$D$35:$D$37</c:f>
              <c:numCache>
                <c:formatCode>_-* #,##0_-;\-* #,##0_-;_-* "-"??_-;_-@_-</c:formatCode>
                <c:ptCount val="3"/>
                <c:pt idx="0">
                  <c:v>34776</c:v>
                </c:pt>
                <c:pt idx="1">
                  <c:v>2079</c:v>
                </c:pt>
                <c:pt idx="2">
                  <c:v>6047.9999999999991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75-47EC-96A9-D13B8551F896}"/>
            </c:ext>
          </c:extLst>
        </c:ser>
        <c:ser>
          <c:idx val="2"/>
          <c:order val="2"/>
          <c:tx>
            <c:strRef>
              <c:f>Graphs!$E$34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Graphs!$B$35:$B$37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Graphs!$E$35:$E$37</c:f>
              <c:numCache>
                <c:formatCode>_-* #,##0_-;\-* #,##0_-;_-* "-"??_-;_-@_-</c:formatCode>
                <c:ptCount val="3"/>
                <c:pt idx="0">
                  <c:v>438177.6</c:v>
                </c:pt>
                <c:pt idx="1">
                  <c:v>26195.399999999994</c:v>
                </c:pt>
                <c:pt idx="2">
                  <c:v>76204.799999999974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75-47EC-96A9-D13B8551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49104032"/>
        <c:axId val="649104392"/>
      </c:barChart>
      <c:catAx>
        <c:axId val="64910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9104392"/>
        <c:crosses val="autoZero"/>
        <c:auto val="1"/>
        <c:lblAlgn val="ctr"/>
        <c:lblOffset val="100"/>
        <c:noMultiLvlLbl val="0"/>
      </c:catAx>
      <c:valAx>
        <c:axId val="64910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9104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Restaurant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Graphs!$C$75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Graphs!$C$76:$C$78</c:f>
              <c:numCache>
                <c:formatCode>General</c:formatCode>
                <c:ptCount val="3"/>
                <c:pt idx="0">
                  <c:v>5750</c:v>
                </c:pt>
                <c:pt idx="1">
                  <c:v>28500</c:v>
                </c:pt>
                <c:pt idx="2">
                  <c:v>326350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25-4EA5-BBA8-DF4187D5B81E}"/>
            </c:ext>
          </c:extLst>
        </c:ser>
        <c:ser>
          <c:idx val="1"/>
          <c:order val="1"/>
          <c:tx>
            <c:strRef>
              <c:f>Graphs!$D$75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Graphs!$D$76:$D$78</c:f>
              <c:numCache>
                <c:formatCode>General</c:formatCode>
                <c:ptCount val="3"/>
                <c:pt idx="0">
                  <c:v>204650</c:v>
                </c:pt>
                <c:pt idx="1">
                  <c:v>34800</c:v>
                </c:pt>
                <c:pt idx="2">
                  <c:v>307750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25-4EA5-BBA8-DF4187D5B81E}"/>
            </c:ext>
          </c:extLst>
        </c:ser>
        <c:ser>
          <c:idx val="2"/>
          <c:order val="2"/>
          <c:tx>
            <c:strRef>
              <c:f>Graphs!$E$75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Graphs!$E$76:$E$78</c:f>
              <c:numCache>
                <c:formatCode>General</c:formatCode>
                <c:ptCount val="3"/>
                <c:pt idx="0">
                  <c:v>130550</c:v>
                </c:pt>
                <c:pt idx="1">
                  <c:v>11093750</c:v>
                </c:pt>
                <c:pt idx="2">
                  <c:v>23139150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25-4EA5-BBA8-DF4187D5B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Office Benefits</a:t>
            </a:r>
            <a:r>
              <a:rPr lang="de-DE" baseline="0"/>
              <a:t> health care system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Graphs!$A$28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cat>
          <c:val>
            <c:numRef>
              <c:f>Graphs!$C$30</c:f>
              <c:numCache>
                <c:formatCode>_-* #,##0_-;\-* #,##0_-;_-* "-"??_-;_-@_-</c:formatCode>
                <c:ptCount val="1"/>
                <c:pt idx="0">
                  <c:v>652.12658834335173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96-47F3-A935-DD3FFECE6B63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cat>
          <c:val>
            <c:numRef>
              <c:f>Graphs!$C$37</c:f>
              <c:numCache>
                <c:formatCode>_-* #,##0_-;\-* #,##0_-;_-* "-"??_-;_-@_-</c:formatCode>
                <c:ptCount val="1"/>
                <c:pt idx="0">
                  <c:v>4959.9999999999991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96-47F3-A935-DD3FFECE6B63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cat>
          <c:val>
            <c:numRef>
              <c:f>Graphs!$C$44</c:f>
              <c:numCache>
                <c:formatCode>_-* #,##0_-;\-* #,##0_-;_-* "-"??_-;_-@_-</c:formatCode>
                <c:ptCount val="1"/>
                <c:pt idx="0">
                  <c:v>42875.999999999993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96-47F3-A935-DD3FFECE6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1259960"/>
        <c:axId val="1071260680"/>
      </c:barChart>
      <c:catAx>
        <c:axId val="1071259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60680"/>
        <c:crosses val="autoZero"/>
        <c:auto val="1"/>
        <c:lblAlgn val="ctr"/>
        <c:lblOffset val="100"/>
        <c:noMultiLvlLbl val="0"/>
      </c:catAx>
      <c:valAx>
        <c:axId val="1071260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59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Office Benefits</a:t>
            </a:r>
            <a:r>
              <a:rPr lang="de-DE" baseline="0"/>
              <a:t> national economy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Graphs!$A$52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cat>
          <c:val>
            <c:numRef>
              <c:f>Graphs!$D$30</c:f>
              <c:numCache>
                <c:formatCode>_-* #,##0_-;\-* #,##0_-;_-* "-"??_-;_-@_-</c:formatCode>
                <c:ptCount val="1"/>
                <c:pt idx="0">
                  <c:v>23197.363200000003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3A-42DA-A1C6-68928805688B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cat>
          <c:val>
            <c:numRef>
              <c:f>Graphs!$D$37</c:f>
              <c:numCache>
                <c:formatCode>_-* #,##0_-;\-* #,##0_-;_-* "-"??_-;_-@_-</c:formatCode>
                <c:ptCount val="1"/>
                <c:pt idx="0">
                  <c:v>6047.9999999999991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3A-42DA-A1C6-68928805688B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cat>
          <c:val>
            <c:numRef>
              <c:f>Graphs!$D$44</c:f>
              <c:numCache>
                <c:formatCode>_-* #,##0_-;\-* #,##0_-;_-* "-"??_-;_-@_-</c:formatCode>
                <c:ptCount val="1"/>
                <c:pt idx="0">
                  <c:v>40435.199999999997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3A-42DA-A1C6-689288056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1259960"/>
        <c:axId val="1071260680"/>
      </c:barChart>
      <c:catAx>
        <c:axId val="1071259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60680"/>
        <c:crosses val="autoZero"/>
        <c:auto val="1"/>
        <c:lblAlgn val="ctr"/>
        <c:lblOffset val="100"/>
        <c:noMultiLvlLbl val="0"/>
      </c:catAx>
      <c:valAx>
        <c:axId val="1071260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59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Waiting Room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(Graphs!$C$29,Graphs!$C$36,Graphs!$C$43)</c:f>
              <c:numCache>
                <c:formatCode>_-* #,##0_-;\-* #,##0_-;_-* "-"??_-;_-@_-</c:formatCode>
                <c:ptCount val="3"/>
                <c:pt idx="0">
                  <c:v>288.70187504783797</c:v>
                </c:pt>
                <c:pt idx="1">
                  <c:v>1705</c:v>
                </c:pt>
                <c:pt idx="2">
                  <c:v>17071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F8-4422-9BA0-767883CA1932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(Graphs!$D$29,Graphs!$D$36,Graphs!$D$43)</c:f>
              <c:numCache>
                <c:formatCode>_-* #,##0_-;\-* #,##0_-;_-* "-"??_-;_-@_-</c:formatCode>
                <c:ptCount val="3"/>
                <c:pt idx="0">
                  <c:v>10269.666000000001</c:v>
                </c:pt>
                <c:pt idx="1">
                  <c:v>2079</c:v>
                </c:pt>
                <c:pt idx="2">
                  <c:v>16099.2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F8-4422-9BA0-767883CA1932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(Graphs!$E$29,Graphs!$E$36,Graphs!$E$43)</c:f>
              <c:numCache>
                <c:formatCode>_-* #,##0_-;\-* #,##0_-;_-* "-"??_-;_-@_-</c:formatCode>
                <c:ptCount val="3"/>
                <c:pt idx="0">
                  <c:v>6551.5449999999992</c:v>
                </c:pt>
                <c:pt idx="1">
                  <c:v>26195.399999999994</c:v>
                </c:pt>
                <c:pt idx="2">
                  <c:v>1210923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F8-4422-9BA0-767883CA1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Office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(Graphs!$C$30,Graphs!$C$37,Graphs!$C$44)</c:f>
              <c:numCache>
                <c:formatCode>_-* #,##0_-;\-* #,##0_-;_-* "-"??_-;_-@_-</c:formatCode>
                <c:ptCount val="3"/>
                <c:pt idx="0">
                  <c:v>652.12658834335173</c:v>
                </c:pt>
                <c:pt idx="1">
                  <c:v>4959.9999999999991</c:v>
                </c:pt>
                <c:pt idx="2">
                  <c:v>42875.999999999993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55-41E8-8FA4-8EB9E3638E98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(Graphs!$D$30,Graphs!$D$37,Graphs!$D$44)</c:f>
              <c:numCache>
                <c:formatCode>_-* #,##0_-;\-* #,##0_-;_-* "-"??_-;_-@_-</c:formatCode>
                <c:ptCount val="3"/>
                <c:pt idx="0">
                  <c:v>23197.363200000003</c:v>
                </c:pt>
                <c:pt idx="1">
                  <c:v>6047.9999999999991</c:v>
                </c:pt>
                <c:pt idx="2">
                  <c:v>40435.199999999997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55-41E8-8FA4-8EB9E3638E98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(Graphs!$E$30,Graphs!$E$37,Graphs!$E$44)</c:f>
              <c:numCache>
                <c:formatCode>_-* #,##0_-;\-* #,##0_-;_-* "-"??_-;_-@_-</c:formatCode>
                <c:ptCount val="3"/>
                <c:pt idx="0">
                  <c:v>14798.784</c:v>
                </c:pt>
                <c:pt idx="1">
                  <c:v>76204.799999999974</c:v>
                </c:pt>
                <c:pt idx="2">
                  <c:v>3041387.9999999995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55-41E8-8FA4-8EB9E3638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Restaurant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(Graphs!$C$28,Graphs!$C$35,Graphs!$C$42)</c:f>
              <c:numCache>
                <c:formatCode>_-* #,##0_-;\-* #,##0_-;_-* "-"??_-;_-@_-</c:formatCode>
                <c:ptCount val="3"/>
                <c:pt idx="0">
                  <c:v>5753.6585450710299</c:v>
                </c:pt>
                <c:pt idx="1">
                  <c:v>28520</c:v>
                </c:pt>
                <c:pt idx="2">
                  <c:v>326334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C8-4B6A-A150-77E5747615B2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(Graphs!$D$28,Graphs!$D$35,Graphs!$D$42)</c:f>
              <c:numCache>
                <c:formatCode>_-* #,##0_-;\-* #,##0_-;_-* "-"??_-;_-@_-</c:formatCode>
                <c:ptCount val="3"/>
                <c:pt idx="0">
                  <c:v>204668.40240000002</c:v>
                </c:pt>
                <c:pt idx="1">
                  <c:v>34776</c:v>
                </c:pt>
                <c:pt idx="2">
                  <c:v>307756.80000000005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C8-4B6A-A150-77E5747615B2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(Graphs!$E$28,Graphs!$E$35,Graphs!$E$42)</c:f>
              <c:numCache>
                <c:formatCode>_-* #,##0_-;\-* #,##0_-;_-* "-"??_-;_-@_-</c:formatCode>
                <c:ptCount val="3"/>
                <c:pt idx="0">
                  <c:v>130568.43799999999</c:v>
                </c:pt>
                <c:pt idx="1">
                  <c:v>438177.6</c:v>
                </c:pt>
                <c:pt idx="2">
                  <c:v>23148342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C8-4B6A-A150-77E574761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Restaurant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Graphs!$C$28</c:f>
              <c:numCache>
                <c:formatCode>_-* #,##0_-;\-* #,##0_-;_-* "-"??_-;_-@_-</c:formatCode>
                <c:ptCount val="1"/>
                <c:pt idx="0">
                  <c:v>5753.6585450710299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CC-4C5F-871D-548CB6E65400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Graphs!$D$28</c:f>
              <c:numCache>
                <c:formatCode>_-* #,##0_-;\-* #,##0_-;_-* "-"??_-;_-@_-</c:formatCode>
                <c:ptCount val="1"/>
                <c:pt idx="0">
                  <c:v>204668.40240000002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CC-4C5F-871D-548CB6E65400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Graphs!$E$28</c:f>
              <c:numCache>
                <c:formatCode>_-* #,##0_-;\-* #,##0_-;_-* "-"??_-;_-@_-</c:formatCode>
                <c:ptCount val="1"/>
                <c:pt idx="0">
                  <c:v>130568.43799999999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CC-4C5F-871D-548CB6E65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Restaurant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cat>
          <c:val>
            <c:numRef>
              <c:f>Graphs!$C$35</c:f>
              <c:numCache>
                <c:formatCode>_-* #,##0_-;\-* #,##0_-;_-* "-"??_-;_-@_-</c:formatCode>
                <c:ptCount val="1"/>
                <c:pt idx="0">
                  <c:v>28520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FC-47C8-96D0-48D1516C0CA6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cat>
          <c:val>
            <c:numRef>
              <c:f>Graphs!$D$35</c:f>
              <c:numCache>
                <c:formatCode>_-* #,##0_-;\-* #,##0_-;_-* "-"??_-;_-@_-</c:formatCode>
                <c:ptCount val="1"/>
                <c:pt idx="0">
                  <c:v>34776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FC-47C8-96D0-48D1516C0CA6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cat>
          <c:val>
            <c:numRef>
              <c:f>Graphs!$E$35</c:f>
              <c:numCache>
                <c:formatCode>_-* #,##0_-;\-* #,##0_-;_-* "-"??_-;_-@_-</c:formatCode>
                <c:ptCount val="1"/>
                <c:pt idx="0">
                  <c:v>438177.6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FC-47C8-96D0-48D1516C0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Restaurant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cat>
          <c:val>
            <c:numRef>
              <c:f>Graphs!$C$42</c:f>
              <c:numCache>
                <c:formatCode>_-* #,##0_-;\-* #,##0_-;_-* "-"??_-;_-@_-</c:formatCode>
                <c:ptCount val="1"/>
                <c:pt idx="0">
                  <c:v>326334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2-4B58-9E8A-1C36C193EC8E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cat>
          <c:val>
            <c:numRef>
              <c:f>Graphs!$D$42</c:f>
              <c:numCache>
                <c:formatCode>_-* #,##0_-;\-* #,##0_-;_-* "-"??_-;_-@_-</c:formatCode>
                <c:ptCount val="1"/>
                <c:pt idx="0">
                  <c:v>307756.80000000005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2-4B58-9E8A-1C36C193EC8E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cat>
          <c:val>
            <c:numRef>
              <c:f>Graphs!$E$42</c:f>
              <c:numCache>
                <c:formatCode>_-* #,##0_-;\-* #,##0_-;_-* "-"??_-;_-@_-</c:formatCode>
                <c:ptCount val="1"/>
                <c:pt idx="0">
                  <c:v>23148342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62-4B58-9E8A-1C36C193E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Waiting Room </a:t>
            </a:r>
            <a:r>
              <a:rPr lang="de-DE"/>
              <a:t>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Graphs!$C$29</c:f>
              <c:numCache>
                <c:formatCode>_-* #,##0_-;\-* #,##0_-;_-* "-"??_-;_-@_-</c:formatCode>
                <c:ptCount val="1"/>
                <c:pt idx="0">
                  <c:v>288.70187504783797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CD-4307-A6C4-1F7F6AC3C507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Graphs!$D$29</c:f>
              <c:numCache>
                <c:formatCode>_-* #,##0_-;\-* #,##0_-;_-* "-"??_-;_-@_-</c:formatCode>
                <c:ptCount val="1"/>
                <c:pt idx="0">
                  <c:v>10269.666000000001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CD-4307-A6C4-1F7F6AC3C507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Graphs!$E$29</c:f>
              <c:numCache>
                <c:formatCode>_-* #,##0_-;\-* #,##0_-;_-* "-"??_-;_-@_-</c:formatCode>
                <c:ptCount val="1"/>
                <c:pt idx="0">
                  <c:v>6551.5449999999992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CD-4307-A6C4-1F7F6AC3C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Benefits split up - S</a:t>
            </a:r>
            <a:r>
              <a:rPr lang="de-DE"/>
              <a:t>evere Pandemic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Graphs!$C$41</c:f>
              <c:strCache>
                <c:ptCount val="1"/>
                <c:pt idx="0">
                  <c:v> Benefits health care system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Graphs!$B$42:$B$44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Graphs!$C$42:$C$44</c:f>
              <c:numCache>
                <c:formatCode>_-* #,##0_-;\-* #,##0_-;_-* "-"??_-;_-@_-</c:formatCode>
                <c:ptCount val="3"/>
                <c:pt idx="0">
                  <c:v>326334</c:v>
                </c:pt>
                <c:pt idx="1">
                  <c:v>17071</c:v>
                </c:pt>
                <c:pt idx="2">
                  <c:v>42875.999999999993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91-4158-9253-73A652B01731}"/>
            </c:ext>
          </c:extLst>
        </c:ser>
        <c:ser>
          <c:idx val="1"/>
          <c:order val="1"/>
          <c:tx>
            <c:strRef>
              <c:f>Graphs!$D$41</c:f>
              <c:strCache>
                <c:ptCount val="1"/>
                <c:pt idx="0">
                  <c:v> Benefits national economy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Graphs!$B$42:$B$44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Graphs!$D$42:$D$44</c:f>
              <c:numCache>
                <c:formatCode>_-* #,##0_-;\-* #,##0_-;_-* "-"??_-;_-@_-</c:formatCode>
                <c:ptCount val="3"/>
                <c:pt idx="0">
                  <c:v>307756.80000000005</c:v>
                </c:pt>
                <c:pt idx="1">
                  <c:v>16099.2</c:v>
                </c:pt>
                <c:pt idx="2">
                  <c:v>40435.199999999997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91-4158-9253-73A652B01731}"/>
            </c:ext>
          </c:extLst>
        </c:ser>
        <c:ser>
          <c:idx val="2"/>
          <c:order val="2"/>
          <c:tx>
            <c:strRef>
              <c:f>Graphs!$E$41</c:f>
              <c:strCache>
                <c:ptCount val="1"/>
                <c:pt idx="0">
                  <c:v> intangible benefits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Graphs!$B$42:$B$44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Graphs!$E$42:$E$44</c:f>
              <c:numCache>
                <c:formatCode>_-* #,##0_-;\-* #,##0_-;_-* "-"??_-;_-@_-</c:formatCode>
                <c:ptCount val="3"/>
                <c:pt idx="0">
                  <c:v>23148342</c:v>
                </c:pt>
                <c:pt idx="1">
                  <c:v>1210923</c:v>
                </c:pt>
                <c:pt idx="2">
                  <c:v>3041387.9999999995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91-4158-9253-73A652B01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49104032"/>
        <c:axId val="649104392"/>
      </c:barChart>
      <c:catAx>
        <c:axId val="64910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9104392"/>
        <c:crosses val="autoZero"/>
        <c:auto val="1"/>
        <c:lblAlgn val="ctr"/>
        <c:lblOffset val="100"/>
        <c:noMultiLvlLbl val="0"/>
      </c:catAx>
      <c:valAx>
        <c:axId val="64910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9104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Waiting Room </a:t>
            </a:r>
            <a:r>
              <a:rPr lang="de-DE"/>
              <a:t>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cat>
          <c:val>
            <c:numRef>
              <c:f>Graphs!$C$36</c:f>
              <c:numCache>
                <c:formatCode>_-* #,##0_-;\-* #,##0_-;_-* "-"??_-;_-@_-</c:formatCode>
                <c:ptCount val="1"/>
                <c:pt idx="0">
                  <c:v>1705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20-4BC2-829E-9CDEBFB665A1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cat>
          <c:val>
            <c:numRef>
              <c:f>Graphs!$D$36</c:f>
              <c:numCache>
                <c:formatCode>_-* #,##0_-;\-* #,##0_-;_-* "-"??_-;_-@_-</c:formatCode>
                <c:ptCount val="1"/>
                <c:pt idx="0">
                  <c:v>2079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20-4BC2-829E-9CDEBFB665A1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cat>
          <c:val>
            <c:numRef>
              <c:f>Graphs!$E$36</c:f>
              <c:numCache>
                <c:formatCode>_-* #,##0_-;\-* #,##0_-;_-* "-"??_-;_-@_-</c:formatCode>
                <c:ptCount val="1"/>
                <c:pt idx="0">
                  <c:v>26195.399999999994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20-4BC2-829E-9CDEBFB66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Waiting Room </a:t>
            </a:r>
            <a:r>
              <a:rPr lang="de-DE"/>
              <a:t>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cat>
          <c:val>
            <c:numRef>
              <c:f>Graphs!$C$43</c:f>
              <c:numCache>
                <c:formatCode>_-* #,##0_-;\-* #,##0_-;_-* "-"??_-;_-@_-</c:formatCode>
                <c:ptCount val="1"/>
                <c:pt idx="0">
                  <c:v>17071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3-470C-AC12-583419DA5F9A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cat>
          <c:val>
            <c:numRef>
              <c:f>Graphs!$D$43</c:f>
              <c:numCache>
                <c:formatCode>_-* #,##0_-;\-* #,##0_-;_-* "-"??_-;_-@_-</c:formatCode>
                <c:ptCount val="1"/>
                <c:pt idx="0">
                  <c:v>16099.2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3-470C-AC12-583419DA5F9A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cat>
          <c:val>
            <c:numRef>
              <c:f>Graphs!$E$43</c:f>
              <c:numCache>
                <c:formatCode>_-* #,##0_-;\-* #,##0_-;_-* "-"??_-;_-@_-</c:formatCode>
                <c:ptCount val="1"/>
                <c:pt idx="0">
                  <c:v>1210923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D3-470C-AC12-583419DA5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Office</a:t>
            </a:r>
            <a:r>
              <a:rPr lang="de-DE"/>
              <a:t>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Graphs!$C$30</c:f>
              <c:numCache>
                <c:formatCode>_-* #,##0_-;\-* #,##0_-;_-* "-"??_-;_-@_-</c:formatCode>
                <c:ptCount val="1"/>
                <c:pt idx="0">
                  <c:v>652.12658834335173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98-4073-B430-4C5E9655470E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Graphs!$D$30</c:f>
              <c:numCache>
                <c:formatCode>_-* #,##0_-;\-* #,##0_-;_-* "-"??_-;_-@_-</c:formatCode>
                <c:ptCount val="1"/>
                <c:pt idx="0">
                  <c:v>23197.363200000003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98-4073-B430-4C5E9655470E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Graphs!$B$76:$B$78</c:f>
              <c:strCache>
                <c:ptCount val="3"/>
                <c:pt idx="0">
                  <c:v>normal winter </c:v>
                </c:pt>
                <c:pt idx="1">
                  <c:v>pandemic peak </c:v>
                </c:pt>
                <c:pt idx="2">
                  <c:v>severe pandemic </c:v>
                </c:pt>
              </c:strCache>
            </c:strRef>
          </c:cat>
          <c:val>
            <c:numRef>
              <c:f>Graphs!$E$30</c:f>
              <c:numCache>
                <c:formatCode>_-* #,##0_-;\-* #,##0_-;_-* "-"??_-;_-@_-</c:formatCode>
                <c:ptCount val="1"/>
                <c:pt idx="0">
                  <c:v>14798.784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98-4073-B430-4C5E965547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Office</a:t>
            </a:r>
            <a:r>
              <a:rPr lang="de-DE"/>
              <a:t>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cat>
          <c:val>
            <c:numRef>
              <c:f>Graphs!$C$37</c:f>
              <c:numCache>
                <c:formatCode>_-* #,##0_-;\-* #,##0_-;_-* "-"??_-;_-@_-</c:formatCode>
                <c:ptCount val="1"/>
                <c:pt idx="0">
                  <c:v>4959.9999999999991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D2-4D4C-8203-D02A8BED1F31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cat>
          <c:val>
            <c:numRef>
              <c:f>Graphs!$D$37</c:f>
              <c:numCache>
                <c:formatCode>_-* #,##0_-;\-* #,##0_-;_-* "-"??_-;_-@_-</c:formatCode>
                <c:ptCount val="1"/>
                <c:pt idx="0">
                  <c:v>6047.9999999999991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D2-4D4C-8203-D02A8BED1F31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cat>
          <c:val>
            <c:numRef>
              <c:f>Graphs!$E$37</c:f>
              <c:numCache>
                <c:formatCode>_-* #,##0_-;\-* #,##0_-;_-* "-"??_-;_-@_-</c:formatCode>
                <c:ptCount val="1"/>
                <c:pt idx="0">
                  <c:v>76204.799999999974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D2-4D4C-8203-D02A8BED1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Office</a:t>
            </a:r>
            <a:r>
              <a:rPr lang="de-DE"/>
              <a:t>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319747205542674"/>
          <c:y val="0.17593831739886057"/>
          <c:w val="0.61130106330515344"/>
          <c:h val="0.6719199318422645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Graphs!$C$27</c:f>
              <c:strCache>
                <c:ptCount val="1"/>
                <c:pt idx="0">
                  <c:v>Benefits health care system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cat>
          <c:val>
            <c:numRef>
              <c:f>Graphs!$C$44</c:f>
              <c:numCache>
                <c:formatCode>_-* #,##0_-;\-* #,##0_-;_-* "-"??_-;_-@_-</c:formatCode>
                <c:ptCount val="1"/>
                <c:pt idx="0">
                  <c:v>42875.999999999993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8F-4262-A9BF-5F295BBFF21C}"/>
            </c:ext>
          </c:extLst>
        </c:ser>
        <c:ser>
          <c:idx val="1"/>
          <c:order val="1"/>
          <c:tx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cat>
          <c:val>
            <c:numRef>
              <c:f>Graphs!$D$44</c:f>
              <c:numCache>
                <c:formatCode>_-* #,##0_-;\-* #,##0_-;_-* "-"??_-;_-@_-</c:formatCode>
                <c:ptCount val="1"/>
                <c:pt idx="0">
                  <c:v>40435.199999999997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8F-4262-A9BF-5F295BBFF21C}"/>
            </c:ext>
          </c:extLst>
        </c:ser>
        <c:ser>
          <c:idx val="2"/>
          <c:order val="2"/>
          <c:tx>
            <c:strRef>
              <c:f>Graphs!$E$27</c:f>
              <c:strCache>
                <c:ptCount val="1"/>
                <c:pt idx="0">
                  <c:v>intangible benefits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cat>
          <c:val>
            <c:numRef>
              <c:f>Graphs!$E$44</c:f>
              <c:numCache>
                <c:formatCode>_-* #,##0_-;\-* #,##0_-;_-* "-"??_-;_-@_-</c:formatCode>
                <c:ptCount val="1"/>
                <c:pt idx="0">
                  <c:v>3041387.9999999995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8F-4262-A9BF-5F295BBFF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6939384"/>
        <c:axId val="816945864"/>
      </c:barChart>
      <c:catAx>
        <c:axId val="81693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45864"/>
        <c:crosses val="autoZero"/>
        <c:auto val="1"/>
        <c:lblAlgn val="ctr"/>
        <c:lblOffset val="100"/>
        <c:noMultiLvlLbl val="0"/>
      </c:catAx>
      <c:valAx>
        <c:axId val="81694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16939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418613386815293"/>
          <c:y val="0.34598230543315905"/>
          <c:w val="0.21092191555285611"/>
          <c:h val="0.445301437744250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Benefits health care system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Graphs!$A$52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Graphs!$B$42:$B$44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Graphs!$C$52:$C$54</c:f>
              <c:numCache>
                <c:formatCode>_-* #,##0_-;\-* #,##0_-;_-* "-"??_-;_-@_-</c:formatCode>
                <c:ptCount val="3"/>
                <c:pt idx="0">
                  <c:v>5961.5444799093984</c:v>
                </c:pt>
                <c:pt idx="1">
                  <c:v>391.60278972509974</c:v>
                </c:pt>
                <c:pt idx="2">
                  <c:v>53.905625246123826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78-4B2B-B5A6-1A22E8D725E3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Graphs!$B$42:$B$44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Graphs!$C$35:$C$37</c:f>
              <c:numCache>
                <c:formatCode>_-* #,##0_-;\-* #,##0_-;_-* "-"??_-;_-@_-</c:formatCode>
                <c:ptCount val="3"/>
                <c:pt idx="0">
                  <c:v>28520</c:v>
                </c:pt>
                <c:pt idx="1">
                  <c:v>1705</c:v>
                </c:pt>
                <c:pt idx="2">
                  <c:v>4959.9999999999991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78-4B2B-B5A6-1A22E8D725E3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Graphs!$B$42:$B$44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Graphs!$C$42:$C$44</c:f>
              <c:numCache>
                <c:formatCode>_-* #,##0_-;\-* #,##0_-;_-* "-"??_-;_-@_-</c:formatCode>
                <c:ptCount val="3"/>
                <c:pt idx="0">
                  <c:v>326334</c:v>
                </c:pt>
                <c:pt idx="1">
                  <c:v>17071</c:v>
                </c:pt>
                <c:pt idx="2">
                  <c:v>42875.999999999993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78-4B2B-B5A6-1A22E8D72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661528"/>
        <c:axId val="554771888"/>
      </c:barChart>
      <c:catAx>
        <c:axId val="73866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4771888"/>
        <c:crosses val="autoZero"/>
        <c:auto val="1"/>
        <c:lblAlgn val="ctr"/>
        <c:lblOffset val="100"/>
        <c:noMultiLvlLbl val="0"/>
      </c:catAx>
      <c:valAx>
        <c:axId val="55477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38661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Benefits national economy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Graphs!$A$52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Graphs!$B$42:$B$44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Graphs!$D$28:$D$30</c:f>
              <c:numCache>
                <c:formatCode>_-* #,##0_-;\-* #,##0_-;_-* "-"??_-;_-@_-</c:formatCode>
                <c:ptCount val="3"/>
                <c:pt idx="0">
                  <c:v>204668.40240000002</c:v>
                </c:pt>
                <c:pt idx="1">
                  <c:v>10269.666000000001</c:v>
                </c:pt>
                <c:pt idx="2">
                  <c:v>23197.363200000003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ED-4D20-9202-03AF90E0D453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Graphs!$B$42:$B$44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Graphs!$D$35:$D$37</c:f>
              <c:numCache>
                <c:formatCode>_-* #,##0_-;\-* #,##0_-;_-* "-"??_-;_-@_-</c:formatCode>
                <c:ptCount val="3"/>
                <c:pt idx="0">
                  <c:v>34776</c:v>
                </c:pt>
                <c:pt idx="1">
                  <c:v>2079</c:v>
                </c:pt>
                <c:pt idx="2">
                  <c:v>6047.9999999999991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ED-4D20-9202-03AF90E0D453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Graphs!$B$42:$B$44</c:f>
              <c:strCache>
                <c:ptCount val="3"/>
                <c:pt idx="0">
                  <c:v>restaurant</c:v>
                </c:pt>
                <c:pt idx="1">
                  <c:v>waiting room</c:v>
                </c:pt>
                <c:pt idx="2">
                  <c:v>office</c:v>
                </c:pt>
              </c:strCache>
            </c:strRef>
          </c:cat>
          <c:val>
            <c:numRef>
              <c:f>Graphs!$D$42:$D$44</c:f>
              <c:numCache>
                <c:formatCode>_-* #,##0_-;\-* #,##0_-;_-* "-"??_-;_-@_-</c:formatCode>
                <c:ptCount val="3"/>
                <c:pt idx="0">
                  <c:v>307756.80000000005</c:v>
                </c:pt>
                <c:pt idx="1">
                  <c:v>16099.2</c:v>
                </c:pt>
                <c:pt idx="2">
                  <c:v>40435.199999999997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ED-4D20-9202-03AF90E0D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661528"/>
        <c:axId val="554771888"/>
      </c:barChart>
      <c:catAx>
        <c:axId val="73866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4771888"/>
        <c:crosses val="autoZero"/>
        <c:auto val="1"/>
        <c:lblAlgn val="ctr"/>
        <c:lblOffset val="100"/>
        <c:noMultiLvlLbl val="0"/>
      </c:catAx>
      <c:valAx>
        <c:axId val="55477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38661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Intangible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Graphs!$A$52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Graphs!$B$52:$B$54</c:f>
              <c:strCache>
                <c:ptCount val="3"/>
                <c:pt idx="0">
                  <c:v>avg restaurant</c:v>
                </c:pt>
                <c:pt idx="1">
                  <c:v>avg waiting room</c:v>
                </c:pt>
                <c:pt idx="2">
                  <c:v>avg office</c:v>
                </c:pt>
              </c:strCache>
            </c:strRef>
          </c:cat>
          <c:val>
            <c:numRef>
              <c:f>Graphs!$E$28:$E$30</c:f>
              <c:numCache>
                <c:formatCode>_-* #,##0_-;\-* #,##0_-;_-* "-"??_-;_-@_-</c:formatCode>
                <c:ptCount val="3"/>
                <c:pt idx="0">
                  <c:v>130568.43799999999</c:v>
                </c:pt>
                <c:pt idx="1">
                  <c:v>6551.5449999999992</c:v>
                </c:pt>
                <c:pt idx="2">
                  <c:v>14798.784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49-4EF2-A3AB-C51EEEB01879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Graphs!$B$52:$B$54</c:f>
              <c:strCache>
                <c:ptCount val="3"/>
                <c:pt idx="0">
                  <c:v>avg restaurant</c:v>
                </c:pt>
                <c:pt idx="1">
                  <c:v>avg waiting room</c:v>
                </c:pt>
                <c:pt idx="2">
                  <c:v>avg office</c:v>
                </c:pt>
              </c:strCache>
            </c:strRef>
          </c:cat>
          <c:val>
            <c:numRef>
              <c:f>Graphs!$E$35:$E$37</c:f>
              <c:numCache>
                <c:formatCode>_-* #,##0_-;\-* #,##0_-;_-* "-"??_-;_-@_-</c:formatCode>
                <c:ptCount val="3"/>
                <c:pt idx="0">
                  <c:v>438177.6</c:v>
                </c:pt>
                <c:pt idx="1">
                  <c:v>26195.399999999994</c:v>
                </c:pt>
                <c:pt idx="2">
                  <c:v>76204.799999999974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49-4EF2-A3AB-C51EEEB01879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Graphs!$B$52:$B$54</c:f>
              <c:strCache>
                <c:ptCount val="3"/>
                <c:pt idx="0">
                  <c:v>avg restaurant</c:v>
                </c:pt>
                <c:pt idx="1">
                  <c:v>avg waiting room</c:v>
                </c:pt>
                <c:pt idx="2">
                  <c:v>avg office</c:v>
                </c:pt>
              </c:strCache>
            </c:strRef>
          </c:cat>
          <c:val>
            <c:numRef>
              <c:f>Graphs!$E$42:$E$44</c:f>
              <c:numCache>
                <c:formatCode>_-* #,##0_-;\-* #,##0_-;_-* "-"??_-;_-@_-</c:formatCode>
                <c:ptCount val="3"/>
                <c:pt idx="0">
                  <c:v>23148342</c:v>
                </c:pt>
                <c:pt idx="1">
                  <c:v>1210923</c:v>
                </c:pt>
                <c:pt idx="2">
                  <c:v>3041387.9999999995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49-4EF2-A3AB-C51EEEB01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661528"/>
        <c:axId val="554771888"/>
      </c:barChart>
      <c:catAx>
        <c:axId val="73866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54771888"/>
        <c:crosses val="autoZero"/>
        <c:auto val="1"/>
        <c:lblAlgn val="ctr"/>
        <c:lblOffset val="100"/>
        <c:noMultiLvlLbl val="0"/>
      </c:catAx>
      <c:valAx>
        <c:axId val="55477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38661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Restaurant</a:t>
            </a:r>
            <a:r>
              <a:rPr lang="en-US" baseline="0"/>
              <a:t> Benefits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Graphs!$A$28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Graphs!$C$41:$E$41</c:f>
              <c:strCache>
                <c:ptCount val="3"/>
                <c:pt idx="0">
                  <c:v> Benefits health care system </c:v>
                </c:pt>
                <c:pt idx="1">
                  <c:v> Benefits national economy </c:v>
                </c:pt>
                <c:pt idx="2">
                  <c:v> intangible benefits </c:v>
                </c:pt>
              </c:strCache>
            </c:strRef>
          </c:cat>
          <c:val>
            <c:numRef>
              <c:f>Graphs!$C$28:$E$28</c:f>
              <c:numCache>
                <c:formatCode>_-* #,##0_-;\-* #,##0_-;_-* "-"??_-;_-@_-</c:formatCode>
                <c:ptCount val="3"/>
                <c:pt idx="0">
                  <c:v>5753.6585450710299</c:v>
                </c:pt>
                <c:pt idx="1">
                  <c:v>204668.40240000002</c:v>
                </c:pt>
                <c:pt idx="2">
                  <c:v>130568.43799999999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5-4FB2-8070-9C37D1ACE595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Graphs!$C$41:$E$41</c:f>
              <c:strCache>
                <c:ptCount val="3"/>
                <c:pt idx="0">
                  <c:v> Benefits health care system </c:v>
                </c:pt>
                <c:pt idx="1">
                  <c:v> Benefits national economy </c:v>
                </c:pt>
                <c:pt idx="2">
                  <c:v> intangible benefits </c:v>
                </c:pt>
              </c:strCache>
            </c:strRef>
          </c:cat>
          <c:val>
            <c:numRef>
              <c:f>Graphs!$C$35:$E$35</c:f>
              <c:numCache>
                <c:formatCode>_-* #,##0_-;\-* #,##0_-;_-* "-"??_-;_-@_-</c:formatCode>
                <c:ptCount val="3"/>
                <c:pt idx="0">
                  <c:v>28520</c:v>
                </c:pt>
                <c:pt idx="1">
                  <c:v>34776</c:v>
                </c:pt>
                <c:pt idx="2">
                  <c:v>438177.6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5-4FB2-8070-9C37D1ACE595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Graphs!$C$41:$E$41</c:f>
              <c:strCache>
                <c:ptCount val="3"/>
                <c:pt idx="0">
                  <c:v> Benefits health care system </c:v>
                </c:pt>
                <c:pt idx="1">
                  <c:v> Benefits national economy </c:v>
                </c:pt>
                <c:pt idx="2">
                  <c:v> intangible benefits </c:v>
                </c:pt>
              </c:strCache>
            </c:strRef>
          </c:cat>
          <c:val>
            <c:numRef>
              <c:f>Graphs!$C$42:$E$42</c:f>
              <c:numCache>
                <c:formatCode>_-* #,##0_-;\-* #,##0_-;_-* "-"??_-;_-@_-</c:formatCode>
                <c:ptCount val="3"/>
                <c:pt idx="0">
                  <c:v>326334</c:v>
                </c:pt>
                <c:pt idx="1">
                  <c:v>307756.80000000005</c:v>
                </c:pt>
                <c:pt idx="2">
                  <c:v>23148342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65-4FB2-8070-9C37D1ACE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71212800"/>
        <c:axId val="1071208840"/>
      </c:barChart>
      <c:catAx>
        <c:axId val="10712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08840"/>
        <c:crosses val="autoZero"/>
        <c:auto val="1"/>
        <c:lblAlgn val="ctr"/>
        <c:lblOffset val="100"/>
        <c:noMultiLvlLbl val="0"/>
      </c:catAx>
      <c:valAx>
        <c:axId val="1071208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12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Restaurant Benefits</a:t>
            </a:r>
            <a:r>
              <a:rPr lang="de-DE" baseline="0"/>
              <a:t> health care system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Graphs!$A$28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cat>
          <c:val>
            <c:numRef>
              <c:f>Graphs!$C$28</c:f>
              <c:numCache>
                <c:formatCode>_-* #,##0_-;\-* #,##0_-;_-* "-"??_-;_-@_-</c:formatCode>
                <c:ptCount val="1"/>
                <c:pt idx="0">
                  <c:v>5753.6585450710299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18-485F-849C-73F1C44FF7C3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cat>
          <c:val>
            <c:numRef>
              <c:f>Graphs!$C$35</c:f>
              <c:numCache>
                <c:formatCode>_-* #,##0_-;\-* #,##0_-;_-* "-"??_-;_-@_-</c:formatCode>
                <c:ptCount val="1"/>
                <c:pt idx="0">
                  <c:v>28520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18-485F-849C-73F1C44FF7C3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Graphs!$C$51</c:f>
              <c:strCache>
                <c:ptCount val="1"/>
                <c:pt idx="0">
                  <c:v>Benefits health care system</c:v>
                </c:pt>
              </c:strCache>
            </c:strRef>
          </c:cat>
          <c:val>
            <c:numRef>
              <c:f>Graphs!$C$42</c:f>
              <c:numCache>
                <c:formatCode>_-* #,##0_-;\-* #,##0_-;_-* "-"??_-;_-@_-</c:formatCode>
                <c:ptCount val="1"/>
                <c:pt idx="0">
                  <c:v>326334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18-485F-849C-73F1C44FF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1259960"/>
        <c:axId val="1071260680"/>
      </c:barChart>
      <c:catAx>
        <c:axId val="1071259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60680"/>
        <c:crosses val="autoZero"/>
        <c:auto val="1"/>
        <c:lblAlgn val="ctr"/>
        <c:lblOffset val="100"/>
        <c:noMultiLvlLbl val="0"/>
      </c:catAx>
      <c:valAx>
        <c:axId val="1071260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59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Restaurant Benefits</a:t>
            </a:r>
            <a:r>
              <a:rPr lang="de-DE" baseline="0"/>
              <a:t> national economy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Graphs!$A$52</c:f>
              <c:strCache>
                <c:ptCount val="1"/>
                <c:pt idx="0">
                  <c:v>normal winter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cat>
          <c:val>
            <c:numRef>
              <c:f>Graphs!$D$28</c:f>
              <c:numCache>
                <c:formatCode>_-* #,##0_-;\-* #,##0_-;_-* "-"??_-;_-@_-</c:formatCode>
                <c:ptCount val="1"/>
                <c:pt idx="0">
                  <c:v>204668.40240000002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29-4E1F-BDF1-F0F1C6BD55E3}"/>
            </c:ext>
          </c:extLst>
        </c:ser>
        <c:ser>
          <c:idx val="1"/>
          <c:order val="1"/>
          <c:tx>
            <c:strRef>
              <c:f>Graphs!$A$35</c:f>
              <c:strCache>
                <c:ptCount val="1"/>
                <c:pt idx="0">
                  <c:v>pandemic peak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cat>
          <c:val>
            <c:numRef>
              <c:f>Graphs!$D$35</c:f>
              <c:numCache>
                <c:formatCode>_-* #,##0_-;\-* #,##0_-;_-* "-"??_-;_-@_-</c:formatCode>
                <c:ptCount val="1"/>
                <c:pt idx="0">
                  <c:v>34776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29-4E1F-BDF1-F0F1C6BD55E3}"/>
            </c:ext>
          </c:extLst>
        </c:ser>
        <c:ser>
          <c:idx val="2"/>
          <c:order val="2"/>
          <c:tx>
            <c:strRef>
              <c:f>Graphs!$A$42</c:f>
              <c:strCache>
                <c:ptCount val="1"/>
                <c:pt idx="0">
                  <c:v>severe pandemic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Graphs!$D$27</c:f>
              <c:strCache>
                <c:ptCount val="1"/>
                <c:pt idx="0">
                  <c:v>Benefits national economy</c:v>
                </c:pt>
              </c:strCache>
            </c:strRef>
          </c:cat>
          <c:val>
            <c:numRef>
              <c:f>Graphs!$D$42</c:f>
              <c:numCache>
                <c:formatCode>_-* #,##0_-;\-* #,##0_-;_-* "-"??_-;_-@_-</c:formatCode>
                <c:ptCount val="1"/>
                <c:pt idx="0">
                  <c:v>307756.80000000005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29-4E1F-BDF1-F0F1C6BD5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1259960"/>
        <c:axId val="1071260680"/>
      </c:barChart>
      <c:catAx>
        <c:axId val="1071259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60680"/>
        <c:crosses val="autoZero"/>
        <c:auto val="1"/>
        <c:lblAlgn val="ctr"/>
        <c:lblOffset val="100"/>
        <c:noMultiLvlLbl val="0"/>
      </c:catAx>
      <c:valAx>
        <c:axId val="1071260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71259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8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170495</xdr:colOff>
      <xdr:row>25</xdr:row>
      <xdr:rowOff>74927</xdr:rowOff>
    </xdr:from>
    <xdr:to>
      <xdr:col>13</xdr:col>
      <xdr:colOff>511295</xdr:colOff>
      <xdr:row>40</xdr:row>
      <xdr:rowOff>56492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209550</xdr:colOff>
      <xdr:row>25</xdr:row>
      <xdr:rowOff>95250</xdr:rowOff>
    </xdr:from>
    <xdr:to>
      <xdr:col>21</xdr:col>
      <xdr:colOff>550350</xdr:colOff>
      <xdr:row>40</xdr:row>
      <xdr:rowOff>78106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114300</xdr:colOff>
      <xdr:row>25</xdr:row>
      <xdr:rowOff>97153</xdr:rowOff>
    </xdr:from>
    <xdr:to>
      <xdr:col>29</xdr:col>
      <xdr:colOff>457541</xdr:colOff>
      <xdr:row>40</xdr:row>
      <xdr:rowOff>78718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244792</xdr:colOff>
      <xdr:row>40</xdr:row>
      <xdr:rowOff>93345</xdr:rowOff>
    </xdr:from>
    <xdr:to>
      <xdr:col>13</xdr:col>
      <xdr:colOff>553402</xdr:colOff>
      <xdr:row>55</xdr:row>
      <xdr:rowOff>135255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171450</xdr:colOff>
      <xdr:row>40</xdr:row>
      <xdr:rowOff>144780</xdr:rowOff>
    </xdr:from>
    <xdr:to>
      <xdr:col>21</xdr:col>
      <xdr:colOff>474345</xdr:colOff>
      <xdr:row>55</xdr:row>
      <xdr:rowOff>179070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209550</xdr:colOff>
      <xdr:row>40</xdr:row>
      <xdr:rowOff>167640</xdr:rowOff>
    </xdr:from>
    <xdr:to>
      <xdr:col>29</xdr:col>
      <xdr:colOff>512445</xdr:colOff>
      <xdr:row>56</xdr:row>
      <xdr:rowOff>26670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248602</xdr:colOff>
      <xdr:row>56</xdr:row>
      <xdr:rowOff>9525</xdr:rowOff>
    </xdr:from>
    <xdr:to>
      <xdr:col>13</xdr:col>
      <xdr:colOff>567690</xdr:colOff>
      <xdr:row>70</xdr:row>
      <xdr:rowOff>181590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247332</xdr:colOff>
      <xdr:row>56</xdr:row>
      <xdr:rowOff>30480</xdr:rowOff>
    </xdr:from>
    <xdr:to>
      <xdr:col>21</xdr:col>
      <xdr:colOff>550227</xdr:colOff>
      <xdr:row>71</xdr:row>
      <xdr:rowOff>66675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22</xdr:col>
      <xdr:colOff>171450</xdr:colOff>
      <xdr:row>56</xdr:row>
      <xdr:rowOff>78740</xdr:rowOff>
    </xdr:from>
    <xdr:to>
      <xdr:col>29</xdr:col>
      <xdr:colOff>495300</xdr:colOff>
      <xdr:row>71</xdr:row>
      <xdr:rowOff>114935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149225</xdr:colOff>
      <xdr:row>9</xdr:row>
      <xdr:rowOff>127000</xdr:rowOff>
    </xdr:from>
    <xdr:to>
      <xdr:col>15</xdr:col>
      <xdr:colOff>454025</xdr:colOff>
      <xdr:row>24</xdr:row>
      <xdr:rowOff>107950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444500</xdr:colOff>
      <xdr:row>9</xdr:row>
      <xdr:rowOff>57150</xdr:rowOff>
    </xdr:from>
    <xdr:to>
      <xdr:col>3</xdr:col>
      <xdr:colOff>12700</xdr:colOff>
      <xdr:row>21</xdr:row>
      <xdr:rowOff>127000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180975</xdr:colOff>
      <xdr:row>9</xdr:row>
      <xdr:rowOff>50800</xdr:rowOff>
    </xdr:from>
    <xdr:to>
      <xdr:col>4</xdr:col>
      <xdr:colOff>882650</xdr:colOff>
      <xdr:row>21</xdr:row>
      <xdr:rowOff>133350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936625</xdr:colOff>
      <xdr:row>9</xdr:row>
      <xdr:rowOff>44450</xdr:rowOff>
    </xdr:from>
    <xdr:to>
      <xdr:col>7</xdr:col>
      <xdr:colOff>539750</xdr:colOff>
      <xdr:row>21</xdr:row>
      <xdr:rowOff>146050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238125</xdr:colOff>
      <xdr:row>120</xdr:row>
      <xdr:rowOff>65087</xdr:rowOff>
    </xdr:from>
    <xdr:to>
      <xdr:col>19</xdr:col>
      <xdr:colOff>238125</xdr:colOff>
      <xdr:row>140</xdr:row>
      <xdr:rowOff>19050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19</xdr:col>
      <xdr:colOff>406400</xdr:colOff>
      <xdr:row>120</xdr:row>
      <xdr:rowOff>87312</xdr:rowOff>
    </xdr:from>
    <xdr:to>
      <xdr:col>28</xdr:col>
      <xdr:colOff>19050</xdr:colOff>
      <xdr:row>140</xdr:row>
      <xdr:rowOff>158750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134620</xdr:colOff>
      <xdr:row>71</xdr:row>
      <xdr:rowOff>64770</xdr:rowOff>
    </xdr:from>
    <xdr:to>
      <xdr:col>13</xdr:col>
      <xdr:colOff>440373</xdr:colOff>
      <xdr:row>86</xdr:row>
      <xdr:rowOff>44430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14</xdr:col>
      <xdr:colOff>15240</xdr:colOff>
      <xdr:row>71</xdr:row>
      <xdr:rowOff>112395</xdr:rowOff>
    </xdr:from>
    <xdr:to>
      <xdr:col>21</xdr:col>
      <xdr:colOff>342900</xdr:colOff>
      <xdr:row>86</xdr:row>
      <xdr:rowOff>158115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22</xdr:col>
      <xdr:colOff>0</xdr:colOff>
      <xdr:row>71</xdr:row>
      <xdr:rowOff>158115</xdr:rowOff>
    </xdr:from>
    <xdr:to>
      <xdr:col>29</xdr:col>
      <xdr:colOff>323850</xdr:colOff>
      <xdr:row>87</xdr:row>
      <xdr:rowOff>7620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6</xdr:col>
      <xdr:colOff>170815</xdr:colOff>
      <xdr:row>87</xdr:row>
      <xdr:rowOff>187325</xdr:rowOff>
    </xdr:from>
    <xdr:to>
      <xdr:col>13</xdr:col>
      <xdr:colOff>513398</xdr:colOff>
      <xdr:row>102</xdr:row>
      <xdr:rowOff>187940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892DE0-EB26-445D-B336-75052CEEED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30</xdr:col>
      <xdr:colOff>510022</xdr:colOff>
      <xdr:row>25</xdr:row>
      <xdr:rowOff>46812</xdr:rowOff>
    </xdr:from>
    <xdr:to>
      <xdr:col>38</xdr:col>
      <xdr:colOff>240146</xdr:colOff>
      <xdr:row>40</xdr:row>
      <xdr:rowOff>100946</xdr:rowOff>
    </xdr:to>
    <xdr:graphicFrame macro="">
      <xdr:nvGraphicFramePr>
        <xdr:cNvPr id="75" name="Chart 22">
          <a:extLst>
            <a:ext uri="{FF2B5EF4-FFF2-40B4-BE49-F238E27FC236}">
              <a16:creationId xmlns:a16="http://schemas.microsoft.com/office/drawing/2014/main" id="{A0A66BF7-79A0-F3A2-4F56-A34037AFA4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14</xdr:col>
      <xdr:colOff>114935</xdr:colOff>
      <xdr:row>87</xdr:row>
      <xdr:rowOff>155575</xdr:rowOff>
    </xdr:from>
    <xdr:to>
      <xdr:col>21</xdr:col>
      <xdr:colOff>417830</xdr:colOff>
      <xdr:row>102</xdr:row>
      <xdr:rowOff>189865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45FBEED3-2D1F-41D4-81E0-4E1288E8BB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22</xdr:col>
      <xdr:colOff>144780</xdr:colOff>
      <xdr:row>87</xdr:row>
      <xdr:rowOff>133985</xdr:rowOff>
    </xdr:from>
    <xdr:to>
      <xdr:col>29</xdr:col>
      <xdr:colOff>454660</xdr:colOff>
      <xdr:row>102</xdr:row>
      <xdr:rowOff>154305</xdr:rowOff>
    </xdr:to>
    <xdr:graphicFrame macro="">
      <xdr:nvGraphicFramePr>
        <xdr:cNvPr id="76" name="Chart 75">
          <a:extLst>
            <a:ext uri="{FF2B5EF4-FFF2-40B4-BE49-F238E27FC236}">
              <a16:creationId xmlns:a16="http://schemas.microsoft.com/office/drawing/2014/main" id="{97323E79-B6D4-4814-B01E-2A3F15A88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30</xdr:col>
      <xdr:colOff>41457</xdr:colOff>
      <xdr:row>71</xdr:row>
      <xdr:rowOff>152581</xdr:rowOff>
    </xdr:from>
    <xdr:to>
      <xdr:col>37</xdr:col>
      <xdr:colOff>374379</xdr:colOff>
      <xdr:row>87</xdr:row>
      <xdr:rowOff>45697</xdr:rowOff>
    </xdr:to>
    <xdr:graphicFrame macro="">
      <xdr:nvGraphicFramePr>
        <xdr:cNvPr id="77" name="Chart 22">
          <a:extLst>
            <a:ext uri="{FF2B5EF4-FFF2-40B4-BE49-F238E27FC236}">
              <a16:creationId xmlns:a16="http://schemas.microsoft.com/office/drawing/2014/main" id="{3F02C62A-9CEA-48BE-A599-1A59692EE9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30</xdr:col>
      <xdr:colOff>23814</xdr:colOff>
      <xdr:row>87</xdr:row>
      <xdr:rowOff>117973</xdr:rowOff>
    </xdr:from>
    <xdr:to>
      <xdr:col>37</xdr:col>
      <xdr:colOff>345306</xdr:colOff>
      <xdr:row>103</xdr:row>
      <xdr:rowOff>6531</xdr:rowOff>
    </xdr:to>
    <xdr:graphicFrame macro="">
      <xdr:nvGraphicFramePr>
        <xdr:cNvPr id="82" name="Chart 22">
          <a:extLst>
            <a:ext uri="{FF2B5EF4-FFF2-40B4-BE49-F238E27FC236}">
              <a16:creationId xmlns:a16="http://schemas.microsoft.com/office/drawing/2014/main" id="{80C1C456-65C8-4558-AEAE-7A2DE22F3A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30</xdr:col>
      <xdr:colOff>27215</xdr:colOff>
      <xdr:row>55</xdr:row>
      <xdr:rowOff>149679</xdr:rowOff>
    </xdr:from>
    <xdr:to>
      <xdr:col>37</xdr:col>
      <xdr:colOff>352517</xdr:colOff>
      <xdr:row>71</xdr:row>
      <xdr:rowOff>46605</xdr:rowOff>
    </xdr:to>
    <xdr:graphicFrame macro="">
      <xdr:nvGraphicFramePr>
        <xdr:cNvPr id="83" name="Chart 22">
          <a:extLst>
            <a:ext uri="{FF2B5EF4-FFF2-40B4-BE49-F238E27FC236}">
              <a16:creationId xmlns:a16="http://schemas.microsoft.com/office/drawing/2014/main" id="{BCA26509-DC42-405C-A4EB-57B5FDC7F0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38</xdr:col>
      <xdr:colOff>108857</xdr:colOff>
      <xdr:row>56</xdr:row>
      <xdr:rowOff>10886</xdr:rowOff>
    </xdr:from>
    <xdr:to>
      <xdr:col>45</xdr:col>
      <xdr:colOff>434159</xdr:colOff>
      <xdr:row>71</xdr:row>
      <xdr:rowOff>92869</xdr:rowOff>
    </xdr:to>
    <xdr:graphicFrame macro="">
      <xdr:nvGraphicFramePr>
        <xdr:cNvPr id="11" name="Chart 22">
          <a:extLst>
            <a:ext uri="{FF2B5EF4-FFF2-40B4-BE49-F238E27FC236}">
              <a16:creationId xmlns:a16="http://schemas.microsoft.com/office/drawing/2014/main" id="{75F6D94F-1CEA-4986-AC13-4FFDF23368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46</xdr:col>
      <xdr:colOff>54429</xdr:colOff>
      <xdr:row>56</xdr:row>
      <xdr:rowOff>43543</xdr:rowOff>
    </xdr:from>
    <xdr:to>
      <xdr:col>53</xdr:col>
      <xdr:colOff>379731</xdr:colOff>
      <xdr:row>71</xdr:row>
      <xdr:rowOff>125526</xdr:rowOff>
    </xdr:to>
    <xdr:graphicFrame macro="">
      <xdr:nvGraphicFramePr>
        <xdr:cNvPr id="14" name="Chart 22">
          <a:extLst>
            <a:ext uri="{FF2B5EF4-FFF2-40B4-BE49-F238E27FC236}">
              <a16:creationId xmlns:a16="http://schemas.microsoft.com/office/drawing/2014/main" id="{9C49F57D-CD94-42E7-84BB-2293D86B28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53</xdr:col>
      <xdr:colOff>566057</xdr:colOff>
      <xdr:row>56</xdr:row>
      <xdr:rowOff>43543</xdr:rowOff>
    </xdr:from>
    <xdr:to>
      <xdr:col>61</xdr:col>
      <xdr:colOff>281759</xdr:colOff>
      <xdr:row>71</xdr:row>
      <xdr:rowOff>125526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81EF695F-B85A-4883-8323-1483248FE7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38</xdr:col>
      <xdr:colOff>32657</xdr:colOff>
      <xdr:row>72</xdr:row>
      <xdr:rowOff>10880</xdr:rowOff>
    </xdr:from>
    <xdr:to>
      <xdr:col>45</xdr:col>
      <xdr:colOff>357959</xdr:colOff>
      <xdr:row>87</xdr:row>
      <xdr:rowOff>92863</xdr:rowOff>
    </xdr:to>
    <xdr:graphicFrame macro="">
      <xdr:nvGraphicFramePr>
        <xdr:cNvPr id="27" name="Chart 22">
          <a:extLst>
            <a:ext uri="{FF2B5EF4-FFF2-40B4-BE49-F238E27FC236}">
              <a16:creationId xmlns:a16="http://schemas.microsoft.com/office/drawing/2014/main" id="{2CC4FFE0-6BD8-4228-94AA-83EE0C80FD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45</xdr:col>
      <xdr:colOff>555172</xdr:colOff>
      <xdr:row>72</xdr:row>
      <xdr:rowOff>32652</xdr:rowOff>
    </xdr:from>
    <xdr:to>
      <xdr:col>53</xdr:col>
      <xdr:colOff>270874</xdr:colOff>
      <xdr:row>87</xdr:row>
      <xdr:rowOff>114635</xdr:rowOff>
    </xdr:to>
    <xdr:graphicFrame macro="">
      <xdr:nvGraphicFramePr>
        <xdr:cNvPr id="28" name="Chart 22">
          <a:extLst>
            <a:ext uri="{FF2B5EF4-FFF2-40B4-BE49-F238E27FC236}">
              <a16:creationId xmlns:a16="http://schemas.microsoft.com/office/drawing/2014/main" id="{381AAFDB-02D7-499F-BE7C-FC292939F7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53</xdr:col>
      <xdr:colOff>457200</xdr:colOff>
      <xdr:row>72</xdr:row>
      <xdr:rowOff>32652</xdr:rowOff>
    </xdr:from>
    <xdr:to>
      <xdr:col>61</xdr:col>
      <xdr:colOff>172902</xdr:colOff>
      <xdr:row>87</xdr:row>
      <xdr:rowOff>114635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545FE4F-269B-42C2-A612-E35E3533DF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37</xdr:col>
      <xdr:colOff>587824</xdr:colOff>
      <xdr:row>88</xdr:row>
      <xdr:rowOff>0</xdr:rowOff>
    </xdr:from>
    <xdr:to>
      <xdr:col>45</xdr:col>
      <xdr:colOff>303526</xdr:colOff>
      <xdr:row>103</xdr:row>
      <xdr:rowOff>81983</xdr:rowOff>
    </xdr:to>
    <xdr:graphicFrame macro="">
      <xdr:nvGraphicFramePr>
        <xdr:cNvPr id="30" name="Chart 22">
          <a:extLst>
            <a:ext uri="{FF2B5EF4-FFF2-40B4-BE49-F238E27FC236}">
              <a16:creationId xmlns:a16="http://schemas.microsoft.com/office/drawing/2014/main" id="{E86D77F2-26A7-454A-91A3-0E062F9C07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45</xdr:col>
      <xdr:colOff>533396</xdr:colOff>
      <xdr:row>88</xdr:row>
      <xdr:rowOff>32657</xdr:rowOff>
    </xdr:from>
    <xdr:to>
      <xdr:col>53</xdr:col>
      <xdr:colOff>249098</xdr:colOff>
      <xdr:row>103</xdr:row>
      <xdr:rowOff>114640</xdr:rowOff>
    </xdr:to>
    <xdr:graphicFrame macro="">
      <xdr:nvGraphicFramePr>
        <xdr:cNvPr id="31" name="Chart 22">
          <a:extLst>
            <a:ext uri="{FF2B5EF4-FFF2-40B4-BE49-F238E27FC236}">
              <a16:creationId xmlns:a16="http://schemas.microsoft.com/office/drawing/2014/main" id="{F73DF60B-C4C1-42F5-91AB-CB20D00E18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53</xdr:col>
      <xdr:colOff>435424</xdr:colOff>
      <xdr:row>88</xdr:row>
      <xdr:rowOff>32657</xdr:rowOff>
    </xdr:from>
    <xdr:to>
      <xdr:col>61</xdr:col>
      <xdr:colOff>151126</xdr:colOff>
      <xdr:row>103</xdr:row>
      <xdr:rowOff>114640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EE07D392-BC79-47E9-B768-E4C0D05737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ohmann, Bianca" id="{B34AE075-AC14-40AF-B4D8-4C1956CE5C01}" userId="S::Bianca.Bohmann@d-fine.com::906bbc59-d0b8-4562-825c-4d6d3d612296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1" dT="2024-03-13T20:39:44.81" personId="{B34AE075-AC14-40AF-B4D8-4C1956CE5C01}" id="{6A39A782-AB56-4FF9-9736-7319D093C823}">
    <text>That seems to be a lot of people?</text>
  </threadedComment>
  <threadedComment ref="I37" dT="2024-03-13T20:18:33.78" personId="{B34AE075-AC14-40AF-B4D8-4C1956CE5C01}" id="{C9255AEC-6838-411C-8727-9E720839B07F}">
    <text>Assumption: Enter room at the same time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G7" dT="2024-04-24T06:41:40.93" personId="{B34AE075-AC14-40AF-B4D8-4C1956CE5C01}" id="{1A652E4B-0851-40A4-B489-87D06849E895}">
    <text>Aktuell kostet die kWh in Deutschland fast 40Cent im durchschnitt
In der Schweiz 30Rappen</text>
  </threadedComment>
  <threadedComment ref="B13" dT="2024-04-26T08:30:55.93" personId="{B34AE075-AC14-40AF-B4D8-4C1956CE5C01}" id="{4C933B95-47A2-403A-AC08-71A214FADFEE}">
    <text>Vermutlich sollten wir hier mit den Stunden noch hoch gehen oder?</text>
  </threadedComment>
  <threadedComment ref="B14" dT="2024-04-26T08:31:05.06" personId="{B34AE075-AC14-40AF-B4D8-4C1956CE5C01}" id="{8A1DC46B-1118-4B58-880B-A28B4D13C254}">
    <text xml:space="preserve">In den Assumptions bin ich von Di &amp; Mi 3h Do-Sa 6h ausgegangen 
das wären dann 528 wie im Beispiel drüber...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ncbi.nlm.nih.gov/pmc/articles/PMC5666301/" TargetMode="Externa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pourdemain.ch/post/fr%C3%BChwarnsystem-gegen-pandemien-spart-bis-zu-30-milliarden-franken" TargetMode="External"/><Relationship Id="rId2" Type="http://schemas.openxmlformats.org/officeDocument/2006/relationships/hyperlink" Target="https://bmchealthservres.biomedcentral.com/articles/10.1186/s12913-023-09601-6" TargetMode="External"/><Relationship Id="rId1" Type="http://schemas.openxmlformats.org/officeDocument/2006/relationships/hyperlink" Target="https://www.aerztezeitung.de/Politik/Was-kostet-Corona-das-Gesundheitswesen-Kassendaten-geben-Einblick-413830.html?noGatewayCall=1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ourdemain.ch/post/fr%C3%BChwarnsystem-gegen-pandemien-spart-bis-zu-30-milliarden-franken" TargetMode="External"/><Relationship Id="rId13" Type="http://schemas.openxmlformats.org/officeDocument/2006/relationships/hyperlink" Target="https://bmcpublichealth.biomedcentral.com/articles/10.1186/s12889-019-7458-x%20(large%20difference%20between%20age%20groups" TargetMode="External"/><Relationship Id="rId18" Type="http://schemas.openxmlformats.org/officeDocument/2006/relationships/hyperlink" Target="https://resource-allocation.biomedcentral.com/articles/10.1186/s12962-022-00356-1/tables/2" TargetMode="External"/><Relationship Id="rId26" Type="http://schemas.openxmlformats.org/officeDocument/2006/relationships/printerSettings" Target="../printerSettings/printerSettings4.bin"/><Relationship Id="rId3" Type="http://schemas.openxmlformats.org/officeDocument/2006/relationships/hyperlink" Target="https://www.rki.de/DE/Content/InfAZ/N/Neuartiges_Coronavirus/Steckbrief.html" TargetMode="External"/><Relationship Id="rId21" Type="http://schemas.openxmlformats.org/officeDocument/2006/relationships/hyperlink" Target="https://www.pourdemain.ch/post/fr%C3%BChwarnsystem-gegen-pandemien-spart-bis-zu-30-milliarden-franken" TargetMode="External"/><Relationship Id="rId7" Type="http://schemas.openxmlformats.org/officeDocument/2006/relationships/hyperlink" Target="https://www.pourdemain.ch/post/fr%C3%BChwarnsystem-gegen-pandemien-spart-bis-zu-30-milliarden-franken" TargetMode="External"/><Relationship Id="rId12" Type="http://schemas.openxmlformats.org/officeDocument/2006/relationships/hyperlink" Target="https://doi.org/10.1016/S0140-6736(17)33293-2" TargetMode="External"/><Relationship Id="rId17" Type="http://schemas.openxmlformats.org/officeDocument/2006/relationships/hyperlink" Target="https://resource-allocation.biomedcentral.com/articles/10.1186/s12962-022-00356-1/tables/2" TargetMode="External"/><Relationship Id="rId25" Type="http://schemas.openxmlformats.org/officeDocument/2006/relationships/hyperlink" Target="https://www.rki.de/DE/Content/Infekt/Sentinel/Grippeweb/grippeweb_ergebnisse_node.html" TargetMode="External"/><Relationship Id="rId2" Type="http://schemas.openxmlformats.org/officeDocument/2006/relationships/hyperlink" Target="https://www.rki.de/DE/Content/InfAZ/N/Neuartiges_Coronavirus/Daten/Klinische_Aspekte.html" TargetMode="External"/><Relationship Id="rId16" Type="http://schemas.openxmlformats.org/officeDocument/2006/relationships/hyperlink" Target="https://resource-allocation.biomedcentral.com/articles/10.1186/s12962-022-00356-1/tables/2" TargetMode="External"/><Relationship Id="rId20" Type="http://schemas.openxmlformats.org/officeDocument/2006/relationships/hyperlink" Target="https://bmchealthservres.biomedcentral.com/articles/10.1186/s12913-023-09601-6" TargetMode="External"/><Relationship Id="rId1" Type="http://schemas.openxmlformats.org/officeDocument/2006/relationships/hyperlink" Target="https://www.aerztezeitung.de/Politik/Was-kostet-Corona-das-Gesundheitswesen-Kassendaten-geben-Einblick-413830.html?noGatewayCall=1" TargetMode="External"/><Relationship Id="rId6" Type="http://schemas.openxmlformats.org/officeDocument/2006/relationships/hyperlink" Target="https://www.ncbi.nlm.nih.gov/pmc/articles/PMC7755064/" TargetMode="External"/><Relationship Id="rId11" Type="http://schemas.openxmlformats.org/officeDocument/2006/relationships/hyperlink" Target="https://bmchealthservres.biomedcentral.com/articles/10.1186/s12913-023-09601-6" TargetMode="External"/><Relationship Id="rId24" Type="http://schemas.openxmlformats.org/officeDocument/2006/relationships/hyperlink" Target="https://www.valueinhealthjournal.com/article/S1098-3015(20)34455-7/pdf" TargetMode="External"/><Relationship Id="rId5" Type="http://schemas.openxmlformats.org/officeDocument/2006/relationships/hyperlink" Target="https://www.ncbi.nlm.nih.gov/pmc/articles/PMC9792933/%20%20%20-%20%2035%25%20asymptomatic" TargetMode="External"/><Relationship Id="rId15" Type="http://schemas.openxmlformats.org/officeDocument/2006/relationships/hyperlink" Target="https://www.ncbi.nlm.nih.gov/pmc/articles/PMC10667819/%20(includes%20rehabilitation,%20only%20adults" TargetMode="External"/><Relationship Id="rId23" Type="http://schemas.openxmlformats.org/officeDocument/2006/relationships/hyperlink" Target="https://www.valueinhealthjournal.com/article/S1098-3015(20)34455-7/pdf" TargetMode="External"/><Relationship Id="rId10" Type="http://schemas.openxmlformats.org/officeDocument/2006/relationships/hyperlink" Target="https://resource-allocation.biomedcentral.com/articles/10.1186/s12962-022-00356-1/tables/2" TargetMode="External"/><Relationship Id="rId19" Type="http://schemas.openxmlformats.org/officeDocument/2006/relationships/hyperlink" Target="https://www.pourdemain.ch/post/fr%C3%BChwarnsystem-gegen-pandemien-spart-bis-zu-30-milliarden-franken" TargetMode="External"/><Relationship Id="rId4" Type="http://schemas.openxmlformats.org/officeDocument/2006/relationships/hyperlink" Target="https://academic.oup.com/cid/article/72/5/e162/6017811" TargetMode="External"/><Relationship Id="rId9" Type="http://schemas.openxmlformats.org/officeDocument/2006/relationships/hyperlink" Target="https://www.pourdemain.ch/post/fr%C3%BChwarnsystem-gegen-pandemien-spart-bis-zu-30-milliarden-franken" TargetMode="External"/><Relationship Id="rId14" Type="http://schemas.openxmlformats.org/officeDocument/2006/relationships/hyperlink" Target="https://www.ncbi.nlm.nih.gov/pmc/articles/PMC8794900/" TargetMode="External"/><Relationship Id="rId22" Type="http://schemas.openxmlformats.org/officeDocument/2006/relationships/hyperlink" Target="https://bmchealthservres.biomedcentral.com/articles/10.1186/s12913-023-09601-6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obsan.admin.ch/sites/default/files/obsan_bulletin_2013-03_d.pdf" TargetMode="External"/><Relationship Id="rId3" Type="http://schemas.openxmlformats.org/officeDocument/2006/relationships/hyperlink" Target="https://www.nzz.ch/zuerich/zuerich-gastronomie-experte-peter-herzog-es-gibt-zu-viele-restaurants-ld.1752260" TargetMode="External"/><Relationship Id="rId7" Type="http://schemas.openxmlformats.org/officeDocument/2006/relationships/hyperlink" Target="https://de.statista.com/themen/4556/krankenhaeuser-in-der-schweiz/" TargetMode="External"/><Relationship Id="rId2" Type="http://schemas.openxmlformats.org/officeDocument/2006/relationships/hyperlink" Target="https://de.statista.com/statistik/daten/studie/500866/umfrage/gastronomiebetriebe-in-der-schweiz/" TargetMode="External"/><Relationship Id="rId1" Type="http://schemas.openxmlformats.org/officeDocument/2006/relationships/hyperlink" Target="https://de.statista.com/statistik/daten/studie/494208/umfrage/bestand-an-bueroflaechen-in-der-schweiz/" TargetMode="External"/><Relationship Id="rId6" Type="http://schemas.openxmlformats.org/officeDocument/2006/relationships/hyperlink" Target="https://www.bfs.admin.ch/asset/de/28085082" TargetMode="External"/><Relationship Id="rId5" Type="http://schemas.openxmlformats.org/officeDocument/2006/relationships/hyperlink" Target="https://www.htr.ch/edition-francaise/article/fast-food-hotspots-schweiz-jedes-zehnte-restaurant-33925" TargetMode="External"/><Relationship Id="rId4" Type="http://schemas.openxmlformats.org/officeDocument/2006/relationships/hyperlink" Target="https://www.20min.ch/story/bars-und-clubs-machen-198-millionen-fr-umsatz-840380386389" TargetMode="External"/><Relationship Id="rId9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obsan.admin.ch/sites/default/files/obsan_bulletin_2013-03_d.pdf" TargetMode="External"/><Relationship Id="rId3" Type="http://schemas.openxmlformats.org/officeDocument/2006/relationships/hyperlink" Target="https://www.nzz.ch/zuerich/zuerich-gastronomie-experte-peter-herzog-es-gibt-zu-viele-restaurants-ld.1752260" TargetMode="External"/><Relationship Id="rId7" Type="http://schemas.openxmlformats.org/officeDocument/2006/relationships/hyperlink" Target="https://de.statista.com/themen/4556/krankenhaeuser-in-der-schweiz/" TargetMode="External"/><Relationship Id="rId2" Type="http://schemas.openxmlformats.org/officeDocument/2006/relationships/hyperlink" Target="https://de.statista.com/statistik/daten/studie/500866/umfrage/gastronomiebetriebe-in-der-schweiz/" TargetMode="External"/><Relationship Id="rId1" Type="http://schemas.openxmlformats.org/officeDocument/2006/relationships/hyperlink" Target="https://de.statista.com/statistik/daten/studie/494208/umfrage/bestand-an-bueroflaechen-in-der-schweiz/" TargetMode="External"/><Relationship Id="rId6" Type="http://schemas.openxmlformats.org/officeDocument/2006/relationships/hyperlink" Target="https://www.bfs.admin.ch/asset/de/28085082" TargetMode="External"/><Relationship Id="rId5" Type="http://schemas.openxmlformats.org/officeDocument/2006/relationships/hyperlink" Target="https://www.htr.ch/edition-francaise/article/fast-food-hotspots-schweiz-jedes-zehnte-restaurant-33925" TargetMode="External"/><Relationship Id="rId4" Type="http://schemas.openxmlformats.org/officeDocument/2006/relationships/hyperlink" Target="https://www.20min.ch/story/bars-und-clubs-machen-198-millionen-fr-umsatz-840380386389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philips.de/c-p/AC4236_10/series-4000i-luftreiniger" TargetMode="External"/><Relationship Id="rId7" Type="http://schemas.microsoft.com/office/2017/10/relationships/threadedComment" Target="../threadedComments/threadedComment2.xml"/><Relationship Id="rId2" Type="http://schemas.openxmlformats.org/officeDocument/2006/relationships/hyperlink" Target="https://uv-can.com/products/carnation-far-uv-ceiling-light" TargetMode="External"/><Relationship Id="rId1" Type="http://schemas.openxmlformats.org/officeDocument/2006/relationships/hyperlink" Target="https://www.egms.de/static/en/journals/dgkh/2021-16/dgkh000378.shtml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64A3B-F3B1-4596-BE8B-3A15FC0FC962}">
  <dimension ref="B3:C21"/>
  <sheetViews>
    <sheetView tabSelected="1" workbookViewId="0">
      <selection activeCell="G15" sqref="G15"/>
    </sheetView>
  </sheetViews>
  <sheetFormatPr defaultRowHeight="14.4"/>
  <cols>
    <col min="2" max="2" width="15.5546875" customWidth="1"/>
    <col min="3" max="3" width="59.21875" customWidth="1"/>
  </cols>
  <sheetData>
    <row r="3" spans="2:3" ht="28.8">
      <c r="B3" s="70" t="s">
        <v>513</v>
      </c>
    </row>
    <row r="5" spans="2:3">
      <c r="B5" t="s">
        <v>463</v>
      </c>
    </row>
    <row r="7" spans="2:3" ht="15.6">
      <c r="B7" s="71" t="s">
        <v>429</v>
      </c>
    </row>
    <row r="9" spans="2:3">
      <c r="B9" s="73" t="s">
        <v>430</v>
      </c>
      <c r="C9" s="74" t="s">
        <v>431</v>
      </c>
    </row>
    <row r="10" spans="2:3" ht="72">
      <c r="B10" s="75" t="s">
        <v>432</v>
      </c>
      <c r="C10" s="76" t="s">
        <v>433</v>
      </c>
    </row>
    <row r="11" spans="2:3" ht="43.2">
      <c r="B11" s="75" t="s">
        <v>434</v>
      </c>
      <c r="C11" s="76" t="s">
        <v>435</v>
      </c>
    </row>
    <row r="12" spans="2:3" ht="57.6">
      <c r="B12" s="75" t="s">
        <v>437</v>
      </c>
      <c r="C12" s="76" t="s">
        <v>436</v>
      </c>
    </row>
    <row r="13" spans="2:3" ht="28.8">
      <c r="B13" s="75" t="s">
        <v>453</v>
      </c>
      <c r="C13" s="76" t="s">
        <v>454</v>
      </c>
    </row>
    <row r="14" spans="2:3" ht="28.8">
      <c r="B14" s="75" t="s">
        <v>438</v>
      </c>
      <c r="C14" s="76" t="s">
        <v>452</v>
      </c>
    </row>
    <row r="15" spans="2:3" ht="28.8">
      <c r="B15" s="75" t="s">
        <v>455</v>
      </c>
      <c r="C15" s="76" t="s">
        <v>456</v>
      </c>
    </row>
    <row r="16" spans="2:3">
      <c r="B16" s="75" t="s">
        <v>457</v>
      </c>
      <c r="C16" s="76" t="s">
        <v>459</v>
      </c>
    </row>
    <row r="17" spans="2:3">
      <c r="B17" s="75" t="s">
        <v>458</v>
      </c>
      <c r="C17" s="76" t="s">
        <v>460</v>
      </c>
    </row>
    <row r="18" spans="2:3" ht="43.2">
      <c r="B18" s="77" t="s">
        <v>461</v>
      </c>
      <c r="C18" s="78" t="s">
        <v>462</v>
      </c>
    </row>
    <row r="21" spans="2:3">
      <c r="B21" s="9" t="s">
        <v>464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6:AP127"/>
  <sheetViews>
    <sheetView topLeftCell="A99" zoomScale="70" zoomScaleNormal="70" workbookViewId="0">
      <selection activeCell="A28" sqref="A28"/>
    </sheetView>
  </sheetViews>
  <sheetFormatPr defaultRowHeight="14.4"/>
  <cols>
    <col min="1" max="1" width="18.44140625" bestFit="1" customWidth="1"/>
    <col min="2" max="2" width="19.5546875" customWidth="1"/>
    <col min="3" max="3" width="25.21875" bestFit="1" customWidth="1"/>
    <col min="4" max="4" width="24.44140625" bestFit="1" customWidth="1"/>
    <col min="5" max="5" width="18.5546875" customWidth="1"/>
    <col min="6" max="6" width="16.21875" customWidth="1"/>
  </cols>
  <sheetData>
    <row r="26" spans="1:6">
      <c r="B26" s="104" t="s">
        <v>376</v>
      </c>
      <c r="C26" s="104"/>
    </row>
    <row r="27" spans="1:6">
      <c r="C27" t="s">
        <v>163</v>
      </c>
      <c r="D27" t="s">
        <v>164</v>
      </c>
      <c r="E27" t="s">
        <v>297</v>
      </c>
    </row>
    <row r="28" spans="1:6">
      <c r="A28" s="54" t="s">
        <v>377</v>
      </c>
      <c r="B28" t="s">
        <v>378</v>
      </c>
      <c r="C28" s="36">
        <f>'Monetary Benefits calc'!D38</f>
        <v>5753.6585450710299</v>
      </c>
      <c r="D28" s="36">
        <f>'Monetary Benefits calc'!D54</f>
        <v>204668.40240000002</v>
      </c>
      <c r="E28" s="36">
        <f>'Monetary Benefits calc'!D70</f>
        <v>130568.43799999999</v>
      </c>
      <c r="F28" s="59">
        <f>C52+D28+E28</f>
        <v>341198.38487990946</v>
      </c>
    </row>
    <row r="29" spans="1:6">
      <c r="B29" t="s">
        <v>379</v>
      </c>
      <c r="C29" s="36">
        <f xml:space="preserve"> AVERAGE('Monetary Benefits calc'!F39:F42)</f>
        <v>288.70187504783797</v>
      </c>
      <c r="D29" s="36">
        <f>AVERAGE('Monetary Benefits calc'!F55:F58)</f>
        <v>10269.666000000001</v>
      </c>
      <c r="E29" s="36">
        <f>AVERAGE('Monetary Benefits calc'!F71:F74)</f>
        <v>6551.5449999999992</v>
      </c>
      <c r="F29" s="59">
        <f>C53+D29+E29</f>
        <v>17212.8137897251</v>
      </c>
    </row>
    <row r="30" spans="1:6">
      <c r="B30" t="s">
        <v>380</v>
      </c>
      <c r="C30" s="36">
        <f>'Monetary Benefits calc'!D44</f>
        <v>652.12658834335173</v>
      </c>
      <c r="D30" s="36">
        <f>'Monetary Benefits calc'!D60</f>
        <v>23197.363200000003</v>
      </c>
      <c r="E30" s="36">
        <f>'Monetary Benefits calc'!D76</f>
        <v>14798.784</v>
      </c>
      <c r="F30" s="59">
        <f>C54+D30+E30</f>
        <v>38050.052825246123</v>
      </c>
    </row>
    <row r="31" spans="1:6">
      <c r="C31" s="59">
        <f t="shared" ref="C31:E31" si="0">C28+C29+C30</f>
        <v>6694.4870084622198</v>
      </c>
      <c r="D31" s="59">
        <f t="shared" si="0"/>
        <v>238135.43160000001</v>
      </c>
      <c r="E31" s="59">
        <f t="shared" si="0"/>
        <v>151918.76699999999</v>
      </c>
      <c r="F31" s="59"/>
    </row>
    <row r="34" spans="1:6">
      <c r="C34" t="s">
        <v>163</v>
      </c>
      <c r="D34" t="s">
        <v>164</v>
      </c>
      <c r="E34" t="s">
        <v>297</v>
      </c>
    </row>
    <row r="35" spans="1:6">
      <c r="A35" s="54" t="s">
        <v>381</v>
      </c>
      <c r="B35" t="s">
        <v>378</v>
      </c>
      <c r="C35" s="36">
        <f>'Monetary Benefits calc'!H38</f>
        <v>28520</v>
      </c>
      <c r="D35" s="36">
        <f>'Monetary Benefits calc'!H54</f>
        <v>34776</v>
      </c>
      <c r="E35" s="36">
        <f>'Monetary Benefits calc'!H70</f>
        <v>438177.6</v>
      </c>
      <c r="F35" s="59">
        <f>C35+D35+E35</f>
        <v>501473.6</v>
      </c>
    </row>
    <row r="36" spans="1:6">
      <c r="B36" t="s">
        <v>379</v>
      </c>
      <c r="C36" s="36">
        <f xml:space="preserve"> AVERAGE('Monetary Benefits calc'!J39:J42)</f>
        <v>1705</v>
      </c>
      <c r="D36" s="36">
        <f>AVERAGE('Monetary Benefits calc'!J55:J58)</f>
        <v>2079</v>
      </c>
      <c r="E36" s="36">
        <f>AVERAGE('Monetary Benefits calc'!J71:J74)</f>
        <v>26195.399999999994</v>
      </c>
      <c r="F36" s="59">
        <f t="shared" ref="F36:F37" si="1">C36+D36+E36</f>
        <v>29979.399999999994</v>
      </c>
    </row>
    <row r="37" spans="1:6">
      <c r="B37" t="s">
        <v>380</v>
      </c>
      <c r="C37" s="36">
        <f>'Monetary Benefits calc'!H44</f>
        <v>4959.9999999999991</v>
      </c>
      <c r="D37" s="36">
        <f>'Monetary Benefits calc'!H60</f>
        <v>6047.9999999999991</v>
      </c>
      <c r="E37" s="36">
        <f>'Monetary Benefits calc'!H76</f>
        <v>76204.799999999974</v>
      </c>
      <c r="F37" s="59">
        <f t="shared" si="1"/>
        <v>87212.799999999974</v>
      </c>
    </row>
    <row r="38" spans="1:6">
      <c r="C38" s="59">
        <f>C35+C36+C37</f>
        <v>35185</v>
      </c>
      <c r="D38" s="59">
        <f t="shared" ref="D38" si="2">D35+D36+D37</f>
        <v>42903</v>
      </c>
      <c r="E38" s="59">
        <f t="shared" ref="E38" si="3">E35+E36+E37</f>
        <v>540577.79999999993</v>
      </c>
      <c r="F38" s="59"/>
    </row>
    <row r="39" spans="1:6">
      <c r="C39" s="59"/>
      <c r="D39" s="59"/>
      <c r="E39" s="59"/>
      <c r="F39" s="59"/>
    </row>
    <row r="40" spans="1:6">
      <c r="C40" s="59"/>
      <c r="D40" s="59"/>
      <c r="E40" s="59"/>
      <c r="F40" s="59"/>
    </row>
    <row r="41" spans="1:6">
      <c r="C41" s="59" t="s">
        <v>163</v>
      </c>
      <c r="D41" s="59" t="s">
        <v>164</v>
      </c>
      <c r="E41" s="59" t="s">
        <v>297</v>
      </c>
      <c r="F41" s="59"/>
    </row>
    <row r="42" spans="1:6">
      <c r="A42" s="54" t="s">
        <v>382</v>
      </c>
      <c r="B42" t="s">
        <v>378</v>
      </c>
      <c r="C42" s="36">
        <f>'Monetary Benefits calc'!L38</f>
        <v>326334</v>
      </c>
      <c r="D42" s="36">
        <f>'Monetary Benefits calc'!L54</f>
        <v>307756.80000000005</v>
      </c>
      <c r="E42" s="36">
        <f>'Monetary Benefits calc'!L70</f>
        <v>23148342</v>
      </c>
      <c r="F42" s="59">
        <f>C42+D42+E42</f>
        <v>23782432.800000001</v>
      </c>
    </row>
    <row r="43" spans="1:6">
      <c r="B43" t="s">
        <v>379</v>
      </c>
      <c r="C43" s="36">
        <f xml:space="preserve"> AVERAGE('Monetary Benefits calc'!N39:N42)</f>
        <v>17071</v>
      </c>
      <c r="D43" s="36">
        <f xml:space="preserve"> AVERAGE('Monetary Benefits calc'!N55:N58)</f>
        <v>16099.2</v>
      </c>
      <c r="E43" s="36">
        <f xml:space="preserve"> AVERAGE('Monetary Benefits calc'!N71:N74)</f>
        <v>1210923</v>
      </c>
      <c r="F43" s="59">
        <f t="shared" ref="F43:F44" si="4">C43+D43+E43</f>
        <v>1244093.2</v>
      </c>
    </row>
    <row r="44" spans="1:6">
      <c r="B44" t="s">
        <v>380</v>
      </c>
      <c r="C44" s="36">
        <f>'Monetary Benefits calc'!L44</f>
        <v>42875.999999999993</v>
      </c>
      <c r="D44" s="36">
        <f>'Monetary Benefits calc'!L60</f>
        <v>40435.199999999997</v>
      </c>
      <c r="E44" s="36">
        <f>'Monetary Benefits calc'!L76</f>
        <v>3041387.9999999995</v>
      </c>
      <c r="F44" s="59">
        <f t="shared" si="4"/>
        <v>3124699.1999999997</v>
      </c>
    </row>
    <row r="45" spans="1:6">
      <c r="C45" s="59">
        <f>C42+C43+C44</f>
        <v>386281</v>
      </c>
      <c r="D45" s="59">
        <f t="shared" ref="D45" si="5">D42+D43+D44</f>
        <v>364291.20000000007</v>
      </c>
      <c r="E45" s="59">
        <f t="shared" ref="E45" si="6">E42+E43+E44</f>
        <v>27400653</v>
      </c>
      <c r="F45" s="59"/>
    </row>
    <row r="50" spans="1:4">
      <c r="B50" t="s">
        <v>383</v>
      </c>
    </row>
    <row r="51" spans="1:4">
      <c r="C51" t="s">
        <v>163</v>
      </c>
    </row>
    <row r="52" spans="1:4">
      <c r="A52" s="54" t="s">
        <v>377</v>
      </c>
      <c r="B52" t="s">
        <v>384</v>
      </c>
      <c r="C52" s="36">
        <f>('Monetary Benefits calc'!D38*'Per Capita benefits'!D3+'Monetary Benefits calc'!D36*'Per Capita benefits'!D5+'Monetary Benefits calc'!D37*'Per Capita benefits'!D5+'Monetary Benefits calc'!D35*'Per Capita benefits'!D4)/33000</f>
        <v>5961.5444799093984</v>
      </c>
    </row>
    <row r="53" spans="1:4">
      <c r="B53" t="s">
        <v>385</v>
      </c>
      <c r="C53" s="36">
        <f xml:space="preserve"> ('Monetary Benefits calc'!D39*'Per Capita benefits'!D7+('Monetary Benefits calc'!D40+'Monetary Benefits calc'!D41)/2*'Per Capita benefits'!D9+'Monetary Benefits calc'!D42*'Per Capita benefits'!D8)/('Per Capita benefits'!D7+'Per Capita benefits'!D8+'Per Capita benefits'!D9)</f>
        <v>391.60278972509974</v>
      </c>
    </row>
    <row r="54" spans="1:4">
      <c r="B54" t="s">
        <v>386</v>
      </c>
      <c r="C54" s="36">
        <f>('Monetary Benefits calc'!D44*'Per Capita benefits'!D12+'Monetary Benefits calc'!D43*'Per Capita benefits'!D11+'Monetary Benefits calc'!D45*'Per Capita benefits'!D13)/SUM('Per Capita benefits'!D11:D12)</f>
        <v>53.905625246123826</v>
      </c>
      <c r="D54" s="36"/>
    </row>
    <row r="55" spans="1:4">
      <c r="C55" s="59">
        <f>C52+C53+C54</f>
        <v>6407.0528948806223</v>
      </c>
      <c r="D55" s="36"/>
    </row>
    <row r="56" spans="1:4">
      <c r="D56" s="36"/>
    </row>
    <row r="57" spans="1:4">
      <c r="C57" t="s">
        <v>163</v>
      </c>
    </row>
    <row r="58" spans="1:4">
      <c r="A58" s="54" t="s">
        <v>377</v>
      </c>
      <c r="B58" t="s">
        <v>387</v>
      </c>
      <c r="C58" s="36">
        <f>AVERAGE('Monetary Benefits calc'!D38,'Monetary Benefits calc'!F38)</f>
        <v>5081.1530008419486</v>
      </c>
    </row>
    <row r="59" spans="1:4">
      <c r="B59" t="s">
        <v>388</v>
      </c>
      <c r="C59" s="36">
        <f xml:space="preserve"> AVERAGE('Monetary Benefits calc'!D39,'Monetary Benefits calc'!F39,'Monetary Benefits calc'!D40,'Monetary Benefits calc'!D41,'Monetary Benefits calc'!F40,'Monetary Benefits calc'!F41,'Monetary Benefits calc'!D42,'Monetary Benefits calc'!F42)</f>
        <v>464.47036956225696</v>
      </c>
    </row>
    <row r="60" spans="1:4">
      <c r="B60" t="s">
        <v>389</v>
      </c>
      <c r="C60" s="36">
        <f>AVERAGE('Monetary Benefits calc'!D44)</f>
        <v>652.12658834335173</v>
      </c>
    </row>
    <row r="61" spans="1:4">
      <c r="C61" s="59">
        <f>C58+C59+C60</f>
        <v>6197.7499587475568</v>
      </c>
    </row>
    <row r="63" spans="1:4">
      <c r="C63" t="s">
        <v>163</v>
      </c>
    </row>
    <row r="64" spans="1:4">
      <c r="A64" s="54" t="s">
        <v>381</v>
      </c>
      <c r="B64" t="s">
        <v>387</v>
      </c>
      <c r="C64">
        <f>AVERAGE('Monetary Benefits calc'!H38,'Monetary Benefits calc'!J38)</f>
        <v>24180</v>
      </c>
    </row>
    <row r="65" spans="1:42">
      <c r="B65" t="s">
        <v>388</v>
      </c>
      <c r="C65" s="28">
        <f xml:space="preserve"> AVERAGE('Monetary Benefits calc'!H39,'Monetary Benefits calc'!J39,'Monetary Benefits calc'!H40,'Monetary Benefits calc'!H41,'Monetary Benefits calc'!J40,'Monetary Benefits calc'!J41,'Monetary Benefits calc'!H42,'Monetary Benefits calc'!J42)</f>
        <v>2809.375</v>
      </c>
    </row>
    <row r="66" spans="1:42">
      <c r="B66" t="s">
        <v>389</v>
      </c>
      <c r="C66">
        <f>AVERAGE('Monetary Benefits calc'!H44)</f>
        <v>4959.9999999999991</v>
      </c>
    </row>
    <row r="70" spans="1:42">
      <c r="B70" t="s">
        <v>390</v>
      </c>
    </row>
    <row r="71" spans="1:42">
      <c r="A71" t="s">
        <v>391</v>
      </c>
      <c r="C71" t="s">
        <v>163</v>
      </c>
      <c r="D71" t="s">
        <v>164</v>
      </c>
      <c r="E71" t="s">
        <v>297</v>
      </c>
    </row>
    <row r="72" spans="1:42">
      <c r="B72" s="54" t="s">
        <v>377</v>
      </c>
      <c r="C72" s="28">
        <v>5753.6585450710299</v>
      </c>
      <c r="D72" s="28">
        <v>204668.40240000002</v>
      </c>
      <c r="E72" s="28">
        <v>130568.43799999999</v>
      </c>
    </row>
    <row r="73" spans="1:42">
      <c r="B73" s="54" t="s">
        <v>381</v>
      </c>
      <c r="C73" s="28">
        <v>28520</v>
      </c>
      <c r="D73" s="28">
        <v>34776</v>
      </c>
      <c r="E73" s="28">
        <v>11093751.899999999</v>
      </c>
    </row>
    <row r="74" spans="1:42">
      <c r="B74" s="54" t="s">
        <v>382</v>
      </c>
      <c r="C74" s="28">
        <v>326334</v>
      </c>
      <c r="D74" s="28">
        <v>307756.80000000005</v>
      </c>
      <c r="E74" s="28">
        <v>23139135.600000001</v>
      </c>
    </row>
    <row r="75" spans="1:42">
      <c r="A75" t="s">
        <v>392</v>
      </c>
      <c r="C75" t="s">
        <v>163</v>
      </c>
      <c r="D75" t="s">
        <v>164</v>
      </c>
      <c r="E75" t="s">
        <v>297</v>
      </c>
    </row>
    <row r="76" spans="1:42">
      <c r="B76" s="54" t="s">
        <v>377</v>
      </c>
      <c r="C76">
        <f t="shared" ref="C76:E78" si="7">ROUND(C72/50,0)*50</f>
        <v>5750</v>
      </c>
      <c r="D76">
        <f t="shared" si="7"/>
        <v>204650</v>
      </c>
      <c r="E76">
        <f t="shared" si="7"/>
        <v>130550</v>
      </c>
    </row>
    <row r="77" spans="1:42">
      <c r="B77" s="54" t="s">
        <v>381</v>
      </c>
      <c r="C77">
        <f t="shared" si="7"/>
        <v>28500</v>
      </c>
      <c r="D77">
        <f t="shared" si="7"/>
        <v>34800</v>
      </c>
      <c r="E77">
        <f t="shared" si="7"/>
        <v>11093750</v>
      </c>
    </row>
    <row r="78" spans="1:42">
      <c r="B78" s="54" t="s">
        <v>382</v>
      </c>
      <c r="C78">
        <f t="shared" si="7"/>
        <v>326350</v>
      </c>
      <c r="D78">
        <f t="shared" si="7"/>
        <v>307750</v>
      </c>
      <c r="E78">
        <f t="shared" si="7"/>
        <v>23139150</v>
      </c>
      <c r="AP78" s="3"/>
    </row>
    <row r="80" spans="1:42">
      <c r="B80" t="s">
        <v>393</v>
      </c>
      <c r="C80" t="s">
        <v>163</v>
      </c>
      <c r="D80" t="s">
        <v>164</v>
      </c>
      <c r="E80" t="s">
        <v>297</v>
      </c>
    </row>
    <row r="81" spans="1:5">
      <c r="B81" s="54" t="s">
        <v>377</v>
      </c>
      <c r="C81" s="59">
        <f>C29</f>
        <v>288.70187504783797</v>
      </c>
      <c r="D81" s="59">
        <f>D29</f>
        <v>10269.666000000001</v>
      </c>
      <c r="E81" s="59">
        <f t="shared" ref="E81" si="8">E29</f>
        <v>6551.5449999999992</v>
      </c>
    </row>
    <row r="82" spans="1:5">
      <c r="B82" s="54" t="s">
        <v>381</v>
      </c>
      <c r="C82" s="59">
        <f>C36</f>
        <v>1705</v>
      </c>
      <c r="D82" s="59">
        <f t="shared" ref="D82:E82" si="9">D36</f>
        <v>2079</v>
      </c>
      <c r="E82" s="59">
        <f t="shared" si="9"/>
        <v>26195.399999999994</v>
      </c>
    </row>
    <row r="83" spans="1:5">
      <c r="B83" s="54" t="s">
        <v>382</v>
      </c>
      <c r="C83" s="59">
        <f>C43</f>
        <v>17071</v>
      </c>
      <c r="D83" s="59">
        <f>D43</f>
        <v>16099.2</v>
      </c>
      <c r="E83" s="59">
        <f t="shared" ref="E83" si="10">E43</f>
        <v>1210923</v>
      </c>
    </row>
    <row r="84" spans="1:5">
      <c r="A84" t="s">
        <v>392</v>
      </c>
      <c r="C84" t="s">
        <v>163</v>
      </c>
      <c r="D84" t="s">
        <v>164</v>
      </c>
      <c r="E84" t="s">
        <v>297</v>
      </c>
    </row>
    <row r="85" spans="1:5">
      <c r="B85" s="54" t="s">
        <v>377</v>
      </c>
      <c r="C85">
        <f t="shared" ref="C85:E85" si="11">ROUND(C81/50,0)*50</f>
        <v>300</v>
      </c>
      <c r="D85">
        <f t="shared" si="11"/>
        <v>10250</v>
      </c>
      <c r="E85">
        <f t="shared" si="11"/>
        <v>6550</v>
      </c>
    </row>
    <row r="86" spans="1:5">
      <c r="B86" s="54" t="s">
        <v>381</v>
      </c>
      <c r="C86">
        <f t="shared" ref="C86:E86" si="12">ROUND(C82/50,0)*50</f>
        <v>1700</v>
      </c>
      <c r="D86">
        <f t="shared" si="12"/>
        <v>2100</v>
      </c>
      <c r="E86">
        <f t="shared" si="12"/>
        <v>26200</v>
      </c>
    </row>
    <row r="87" spans="1:5">
      <c r="B87" s="54" t="s">
        <v>382</v>
      </c>
      <c r="C87">
        <f t="shared" ref="C87:E87" si="13">ROUND(C83/50,0)*50</f>
        <v>17050</v>
      </c>
      <c r="D87">
        <f t="shared" si="13"/>
        <v>16100</v>
      </c>
      <c r="E87">
        <f t="shared" si="13"/>
        <v>1210900</v>
      </c>
    </row>
    <row r="101" spans="1:12">
      <c r="A101" s="3" t="s">
        <v>391</v>
      </c>
      <c r="B101" s="3" t="s">
        <v>394</v>
      </c>
    </row>
    <row r="102" spans="1:12">
      <c r="C102" t="s">
        <v>217</v>
      </c>
      <c r="D102" t="s">
        <v>342</v>
      </c>
      <c r="E102" t="s">
        <v>307</v>
      </c>
    </row>
    <row r="103" spans="1:12">
      <c r="B103" t="s">
        <v>271</v>
      </c>
      <c r="C103" s="28">
        <v>596632.7266075504</v>
      </c>
      <c r="D103" s="28">
        <v>19585543.399999995</v>
      </c>
      <c r="E103" s="28">
        <v>46389604.799999997</v>
      </c>
    </row>
    <row r="104" spans="1:12">
      <c r="B104" t="s">
        <v>272</v>
      </c>
      <c r="C104" s="28">
        <v>952921.50059384084</v>
      </c>
      <c r="D104" s="28">
        <v>1591633.5999999999</v>
      </c>
      <c r="E104" s="28">
        <v>67039341.600000001</v>
      </c>
    </row>
    <row r="105" spans="1:12">
      <c r="B105" t="s">
        <v>274</v>
      </c>
      <c r="C105" s="28">
        <v>51531.031717791149</v>
      </c>
      <c r="D105" s="28">
        <v>87212.800000000003</v>
      </c>
      <c r="E105" s="28">
        <v>3701913.600000001</v>
      </c>
    </row>
    <row r="106" spans="1:12">
      <c r="B106" t="s">
        <v>72</v>
      </c>
      <c r="C106" s="28">
        <v>340990.49894507101</v>
      </c>
      <c r="D106" s="28">
        <v>11157047.899999999</v>
      </c>
      <c r="E106" s="28">
        <v>23773226.400000002</v>
      </c>
    </row>
    <row r="108" spans="1:12">
      <c r="A108" s="3" t="s">
        <v>392</v>
      </c>
      <c r="C108" t="s">
        <v>217</v>
      </c>
      <c r="D108" t="s">
        <v>342</v>
      </c>
      <c r="E108" t="s">
        <v>307</v>
      </c>
    </row>
    <row r="109" spans="1:12">
      <c r="A109" s="3"/>
      <c r="B109" t="s">
        <v>271</v>
      </c>
      <c r="C109">
        <f>ROUND(C103/50,0)*50</f>
        <v>596650</v>
      </c>
      <c r="D109">
        <f t="shared" ref="D109:E109" si="14">ROUND(D103/50,0)*50</f>
        <v>19585550</v>
      </c>
      <c r="E109">
        <f t="shared" si="14"/>
        <v>46389600</v>
      </c>
    </row>
    <row r="110" spans="1:12">
      <c r="B110" t="s">
        <v>272</v>
      </c>
      <c r="C110">
        <f t="shared" ref="C110:E112" si="15">ROUND(C104/50,0)*50</f>
        <v>952900</v>
      </c>
      <c r="D110">
        <f t="shared" si="15"/>
        <v>1591650</v>
      </c>
      <c r="E110">
        <f t="shared" si="15"/>
        <v>67039350</v>
      </c>
    </row>
    <row r="111" spans="1:12">
      <c r="B111" t="s">
        <v>274</v>
      </c>
      <c r="C111">
        <f t="shared" si="15"/>
        <v>51550</v>
      </c>
      <c r="D111">
        <f t="shared" si="15"/>
        <v>87200</v>
      </c>
      <c r="E111">
        <f t="shared" si="15"/>
        <v>3701900</v>
      </c>
      <c r="J111" t="s">
        <v>378</v>
      </c>
      <c r="K111" t="s">
        <v>379</v>
      </c>
      <c r="L111" t="s">
        <v>380</v>
      </c>
    </row>
    <row r="112" spans="1:12">
      <c r="B112" t="s">
        <v>72</v>
      </c>
      <c r="C112">
        <f t="shared" si="15"/>
        <v>341000</v>
      </c>
      <c r="D112">
        <f t="shared" si="15"/>
        <v>11157050</v>
      </c>
      <c r="E112">
        <f t="shared" si="15"/>
        <v>23773250</v>
      </c>
      <c r="I112" t="s">
        <v>217</v>
      </c>
      <c r="J112" s="59">
        <f>ROUND(M117/10,0)*10</f>
        <v>290</v>
      </c>
      <c r="K112" s="59">
        <f>ROUND(AVERAGE(N117:Q117)/10,0)*10</f>
        <v>90</v>
      </c>
      <c r="L112" s="59">
        <f>ROUND(S117/10,0)*10</f>
        <v>30</v>
      </c>
    </row>
    <row r="113" spans="2:20">
      <c r="I113" t="s">
        <v>342</v>
      </c>
      <c r="J113" s="59">
        <f t="shared" ref="J113:J114" si="16">ROUND(M118/10,0)*10</f>
        <v>9610</v>
      </c>
      <c r="K113" s="59">
        <f t="shared" ref="K113:K114" si="17">ROUND(AVERAGE(N118:Q118)/10,0)*10</f>
        <v>170</v>
      </c>
      <c r="L113" s="59">
        <f t="shared" ref="L113:L114" si="18">ROUND(S118/10,0)*10</f>
        <v>950</v>
      </c>
    </row>
    <row r="114" spans="2:20">
      <c r="I114" t="s">
        <v>307</v>
      </c>
      <c r="J114" s="59">
        <f t="shared" si="16"/>
        <v>20470</v>
      </c>
      <c r="K114" s="59">
        <f t="shared" si="17"/>
        <v>6740</v>
      </c>
      <c r="L114" s="59">
        <f t="shared" si="18"/>
        <v>2330</v>
      </c>
    </row>
    <row r="116" spans="2:20">
      <c r="B116" t="s">
        <v>302</v>
      </c>
      <c r="D116" t="s">
        <v>217</v>
      </c>
      <c r="E116" t="s">
        <v>342</v>
      </c>
      <c r="F116" t="s">
        <v>307</v>
      </c>
      <c r="J116" t="s">
        <v>271</v>
      </c>
      <c r="K116" t="s">
        <v>272</v>
      </c>
      <c r="L116" t="s">
        <v>274</v>
      </c>
      <c r="M116" t="s">
        <v>72</v>
      </c>
      <c r="N116" t="s">
        <v>80</v>
      </c>
      <c r="O116" t="s">
        <v>275</v>
      </c>
      <c r="P116" t="s">
        <v>276</v>
      </c>
      <c r="Q116" t="s">
        <v>277</v>
      </c>
      <c r="R116" t="s">
        <v>103</v>
      </c>
      <c r="S116" t="s">
        <v>109</v>
      </c>
      <c r="T116" t="s">
        <v>112</v>
      </c>
    </row>
    <row r="117" spans="2:20">
      <c r="B117" t="s">
        <v>166</v>
      </c>
      <c r="C117" t="s">
        <v>271</v>
      </c>
      <c r="D117" s="59">
        <v>400.83617674087418</v>
      </c>
      <c r="E117" s="59">
        <v>13158.169147855642</v>
      </c>
      <c r="F117" s="59">
        <v>31165.960228633547</v>
      </c>
      <c r="G117" s="59"/>
      <c r="I117" t="s">
        <v>217</v>
      </c>
      <c r="J117" s="59">
        <v>400.83617674087418</v>
      </c>
      <c r="K117" s="59">
        <v>434.42412077288139</v>
      </c>
      <c r="L117" s="59">
        <v>305.39997336969788</v>
      </c>
      <c r="M117" s="59">
        <v>294</v>
      </c>
      <c r="N117" s="59">
        <v>62.556900653753409</v>
      </c>
      <c r="O117" s="59">
        <v>57.744831372695451</v>
      </c>
      <c r="P117" s="59">
        <v>240.60346405289772</v>
      </c>
      <c r="Q117" s="59">
        <v>9.5437491678030533</v>
      </c>
      <c r="R117" s="59">
        <v>4.8120692810579548</v>
      </c>
      <c r="S117" s="59">
        <v>28.872415686347736</v>
      </c>
      <c r="T117" s="59">
        <v>18.04525980396733</v>
      </c>
    </row>
    <row r="118" spans="2:20">
      <c r="C118" t="s">
        <v>272</v>
      </c>
      <c r="D118" s="59">
        <v>434.42412077288139</v>
      </c>
      <c r="E118" s="59">
        <v>725.6043932702562</v>
      </c>
      <c r="F118" s="59">
        <v>30562.335946480052</v>
      </c>
      <c r="G118" s="59"/>
      <c r="I118" t="s">
        <v>342</v>
      </c>
      <c r="J118" s="59">
        <v>13158.169147855642</v>
      </c>
      <c r="K118" s="59">
        <v>725.6043932702562</v>
      </c>
      <c r="L118" s="59">
        <v>516.86888287744284</v>
      </c>
      <c r="M118" s="59">
        <v>9606.5606867382412</v>
      </c>
      <c r="N118" s="59">
        <v>146.59385602215391</v>
      </c>
      <c r="O118" s="59">
        <v>97.729237348102615</v>
      </c>
      <c r="P118" s="59">
        <v>407.20515561709431</v>
      </c>
      <c r="Q118" s="59">
        <v>12.921722071936067</v>
      </c>
      <c r="R118" s="59">
        <v>158.20011436527267</v>
      </c>
      <c r="S118" s="59">
        <v>947.55596822251869</v>
      </c>
      <c r="T118" s="59">
        <v>592.22248013907415</v>
      </c>
    </row>
    <row r="119" spans="2:20">
      <c r="C119" t="s">
        <v>274</v>
      </c>
      <c r="D119" s="59">
        <v>305.39997336969788</v>
      </c>
      <c r="E119" s="59">
        <v>516.86888287744284</v>
      </c>
      <c r="F119" s="59">
        <v>21939.485338629343</v>
      </c>
      <c r="G119" s="59"/>
      <c r="I119" t="s">
        <v>307</v>
      </c>
      <c r="J119" s="59">
        <v>31165.960228633547</v>
      </c>
      <c r="K119" s="59">
        <v>30562.335946480052</v>
      </c>
      <c r="L119" s="59">
        <v>21939.485338629343</v>
      </c>
      <c r="M119" s="59">
        <v>20469.477605376935</v>
      </c>
      <c r="N119" s="59">
        <v>4839.6878095799066</v>
      </c>
      <c r="O119" s="59">
        <v>4148.3038367827776</v>
      </c>
      <c r="P119" s="59">
        <v>17284.599319928242</v>
      </c>
      <c r="Q119" s="59">
        <v>685.60891683216687</v>
      </c>
      <c r="R119" s="59">
        <v>414.83038367827771</v>
      </c>
      <c r="S119" s="59">
        <v>2333.4209081903123</v>
      </c>
      <c r="T119" s="59">
        <v>1728.4599319928238</v>
      </c>
    </row>
    <row r="120" spans="2:20">
      <c r="C120" t="s">
        <v>72</v>
      </c>
      <c r="D120" s="59">
        <v>294</v>
      </c>
      <c r="E120" s="59">
        <v>9606.5606867382412</v>
      </c>
      <c r="F120" s="59">
        <v>20469.477605376935</v>
      </c>
      <c r="G120" s="59"/>
      <c r="I120" s="59"/>
      <c r="J120" s="59"/>
      <c r="K120" s="59"/>
      <c r="M120" s="59"/>
      <c r="N120" s="59"/>
      <c r="O120" s="59"/>
    </row>
    <row r="121" spans="2:20">
      <c r="B121" t="s">
        <v>79</v>
      </c>
      <c r="C121" t="s">
        <v>80</v>
      </c>
      <c r="D121" s="59">
        <v>62.556900653753409</v>
      </c>
      <c r="E121" s="59">
        <v>146.59385602215391</v>
      </c>
      <c r="F121" s="59">
        <v>4839.6878095799066</v>
      </c>
      <c r="G121" s="59"/>
      <c r="I121" s="59"/>
      <c r="K121" s="59"/>
      <c r="M121" s="59"/>
      <c r="O121" s="59"/>
    </row>
    <row r="122" spans="2:20">
      <c r="B122" t="s">
        <v>89</v>
      </c>
      <c r="C122" t="s">
        <v>275</v>
      </c>
      <c r="D122" s="59">
        <v>57.744831372695451</v>
      </c>
      <c r="E122" s="59">
        <v>97.729237348102615</v>
      </c>
      <c r="F122" s="59">
        <v>4148.3038367827776</v>
      </c>
      <c r="G122" s="59"/>
      <c r="I122" s="59"/>
      <c r="K122" s="59"/>
      <c r="M122" s="59"/>
      <c r="O122" s="59"/>
    </row>
    <row r="123" spans="2:20">
      <c r="C123" t="s">
        <v>276</v>
      </c>
      <c r="D123" s="59">
        <v>240.60346405289772</v>
      </c>
      <c r="E123" s="59">
        <v>407.20515561709431</v>
      </c>
      <c r="F123" s="59">
        <v>17284.599319928242</v>
      </c>
      <c r="G123" s="59"/>
      <c r="I123" s="59"/>
      <c r="K123" s="59"/>
      <c r="M123" s="59"/>
      <c r="O123" s="59"/>
    </row>
    <row r="124" spans="2:20">
      <c r="C124" t="s">
        <v>277</v>
      </c>
      <c r="D124" s="59">
        <v>9.5437491678030533</v>
      </c>
      <c r="E124" s="59">
        <v>12.921722071936067</v>
      </c>
      <c r="F124" s="59">
        <v>685.60891683216687</v>
      </c>
      <c r="G124" s="59"/>
      <c r="I124" s="59"/>
      <c r="K124" s="59"/>
      <c r="M124" s="59"/>
      <c r="O124" s="59"/>
    </row>
    <row r="125" spans="2:20">
      <c r="B125" t="s">
        <v>75</v>
      </c>
      <c r="C125" t="s">
        <v>103</v>
      </c>
      <c r="D125" s="59">
        <v>4.8120692810579548</v>
      </c>
      <c r="E125" s="59">
        <v>158.20011436527267</v>
      </c>
      <c r="F125" s="59">
        <v>414.83038367827771</v>
      </c>
      <c r="I125" s="59"/>
      <c r="M125" s="59"/>
    </row>
    <row r="126" spans="2:20">
      <c r="C126" t="s">
        <v>109</v>
      </c>
      <c r="D126" s="59">
        <v>28.872415686347736</v>
      </c>
      <c r="E126" s="59">
        <v>947.55596822251869</v>
      </c>
      <c r="F126" s="59">
        <v>2333.4209081903123</v>
      </c>
      <c r="I126" s="59"/>
      <c r="M126" s="59"/>
    </row>
    <row r="127" spans="2:20">
      <c r="C127" t="s">
        <v>112</v>
      </c>
      <c r="D127" s="59">
        <v>18.04525980396733</v>
      </c>
      <c r="E127" s="59">
        <v>592.22248013907415</v>
      </c>
      <c r="F127" s="59">
        <v>1728.4599319928238</v>
      </c>
      <c r="I127" s="59"/>
      <c r="M127" s="59"/>
    </row>
  </sheetData>
  <mergeCells count="1">
    <mergeCell ref="B26:C26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K12"/>
  <sheetViews>
    <sheetView showGridLines="0" zoomScale="70" zoomScaleNormal="70" workbookViewId="0">
      <pane ySplit="2" topLeftCell="A3" activePane="bottomLeft" state="frozen"/>
      <selection pane="bottomLeft" activeCell="D8" sqref="D8"/>
    </sheetView>
  </sheetViews>
  <sheetFormatPr defaultRowHeight="14.4"/>
  <cols>
    <col min="2" max="2" width="35.77734375" style="108" bestFit="1" customWidth="1"/>
    <col min="3" max="3" width="25.5546875" customWidth="1"/>
    <col min="4" max="4" width="37" bestFit="1" customWidth="1"/>
    <col min="5" max="5" width="31.5546875" bestFit="1" customWidth="1"/>
    <col min="6" max="6" width="24.21875" bestFit="1" customWidth="1"/>
    <col min="7" max="7" width="22.21875" bestFit="1" customWidth="1"/>
    <col min="8" max="8" width="17.77734375" bestFit="1" customWidth="1"/>
    <col min="9" max="9" width="29.21875" customWidth="1"/>
    <col min="10" max="10" width="37.21875" bestFit="1" customWidth="1"/>
    <col min="11" max="11" width="83.21875" customWidth="1"/>
  </cols>
  <sheetData>
    <row r="2" spans="2:11" ht="18">
      <c r="B2" s="106" t="s">
        <v>395</v>
      </c>
      <c r="C2" s="19" t="s">
        <v>396</v>
      </c>
      <c r="D2" s="19" t="s">
        <v>397</v>
      </c>
      <c r="E2" s="19" t="s">
        <v>398</v>
      </c>
      <c r="F2" s="19" t="s">
        <v>399</v>
      </c>
      <c r="G2" s="19" t="s">
        <v>400</v>
      </c>
      <c r="H2" s="19" t="s">
        <v>401</v>
      </c>
      <c r="I2" s="19" t="s">
        <v>402</v>
      </c>
      <c r="J2" s="19" t="s">
        <v>403</v>
      </c>
      <c r="K2" s="19" t="s">
        <v>177</v>
      </c>
    </row>
    <row r="3" spans="2:11" ht="94.5" customHeight="1">
      <c r="B3" s="107" t="s">
        <v>404</v>
      </c>
      <c r="C3" s="20" t="s">
        <v>405</v>
      </c>
      <c r="D3" s="20">
        <v>294039</v>
      </c>
      <c r="E3" s="20">
        <v>43036</v>
      </c>
      <c r="F3" s="21">
        <f>E3/D3</f>
        <v>0.14636153707501387</v>
      </c>
      <c r="G3" s="20">
        <v>1096</v>
      </c>
      <c r="H3" s="21">
        <f>G3/D3</f>
        <v>3.727396705879152E-3</v>
      </c>
      <c r="I3" s="21">
        <f>G3/E3</f>
        <v>2.546705084115624E-2</v>
      </c>
      <c r="J3" s="20" t="s">
        <v>406</v>
      </c>
      <c r="K3" s="105" t="s">
        <v>407</v>
      </c>
    </row>
    <row r="4" spans="2:11" ht="93" customHeight="1">
      <c r="B4" s="107" t="s">
        <v>408</v>
      </c>
      <c r="C4" s="20" t="s">
        <v>409</v>
      </c>
      <c r="D4" s="20">
        <v>16618</v>
      </c>
      <c r="E4" s="20">
        <v>3437</v>
      </c>
      <c r="F4" s="21">
        <f t="shared" ref="F4:F9" si="0">E4/D4</f>
        <v>0.2068239258635215</v>
      </c>
      <c r="G4" s="20">
        <v>42</v>
      </c>
      <c r="H4" s="21">
        <f t="shared" ref="H4:H10" si="1">G4/D4</f>
        <v>2.527379949452401E-3</v>
      </c>
      <c r="I4" s="21">
        <f t="shared" ref="I4:I8" si="2">G4/E4</f>
        <v>1.2219959266802444E-2</v>
      </c>
      <c r="J4" s="20" t="s">
        <v>406</v>
      </c>
      <c r="K4" s="105" t="s">
        <v>410</v>
      </c>
    </row>
    <row r="5" spans="2:11" ht="184.5" customHeight="1">
      <c r="B5" s="107" t="s">
        <v>411</v>
      </c>
      <c r="C5" s="20" t="s">
        <v>405</v>
      </c>
      <c r="D5" s="20">
        <v>5035474</v>
      </c>
      <c r="E5" s="20">
        <v>287799</v>
      </c>
      <c r="F5" s="21">
        <f t="shared" si="0"/>
        <v>5.7154301660578527E-2</v>
      </c>
      <c r="G5" s="20">
        <v>22266</v>
      </c>
      <c r="H5" s="21">
        <f t="shared" si="1"/>
        <v>4.4218280146020019E-3</v>
      </c>
      <c r="I5" s="21">
        <f t="shared" si="2"/>
        <v>7.7366495366557916E-2</v>
      </c>
      <c r="J5" s="22" t="s">
        <v>412</v>
      </c>
      <c r="K5" s="105" t="s">
        <v>413</v>
      </c>
    </row>
    <row r="6" spans="2:11" ht="93" customHeight="1">
      <c r="B6" s="107" t="s">
        <v>414</v>
      </c>
      <c r="C6" s="20" t="s">
        <v>409</v>
      </c>
      <c r="D6" s="20">
        <v>269196</v>
      </c>
      <c r="E6" s="20">
        <v>87589</v>
      </c>
      <c r="F6" s="21">
        <f t="shared" si="0"/>
        <v>0.32537259097460586</v>
      </c>
      <c r="G6" s="20">
        <v>3576</v>
      </c>
      <c r="H6" s="21">
        <f t="shared" si="1"/>
        <v>1.3284001248161191E-2</v>
      </c>
      <c r="I6" s="21">
        <f t="shared" si="2"/>
        <v>4.0827044491888252E-2</v>
      </c>
      <c r="J6" s="22" t="s">
        <v>412</v>
      </c>
      <c r="K6" s="105" t="s">
        <v>410</v>
      </c>
    </row>
    <row r="7" spans="2:11" ht="94.5" customHeight="1">
      <c r="B7" s="107" t="s">
        <v>415</v>
      </c>
      <c r="C7" s="20" t="s">
        <v>409</v>
      </c>
      <c r="D7" s="20">
        <v>14543</v>
      </c>
      <c r="E7" s="20">
        <v>4320</v>
      </c>
      <c r="F7" s="21">
        <f t="shared" si="0"/>
        <v>0.29705012720896651</v>
      </c>
      <c r="G7" s="20" t="s">
        <v>406</v>
      </c>
      <c r="H7" s="21" t="s">
        <v>406</v>
      </c>
      <c r="I7" s="21" t="s">
        <v>406</v>
      </c>
      <c r="J7" s="20" t="s">
        <v>406</v>
      </c>
      <c r="K7" s="105" t="s">
        <v>416</v>
      </c>
    </row>
    <row r="8" spans="2:11" ht="152.25" customHeight="1">
      <c r="B8" s="107" t="s">
        <v>417</v>
      </c>
      <c r="C8" s="20">
        <v>2022</v>
      </c>
      <c r="D8" s="20">
        <v>4076</v>
      </c>
      <c r="E8" s="20">
        <v>3740</v>
      </c>
      <c r="F8" s="21">
        <f t="shared" si="0"/>
        <v>0.91756624141315013</v>
      </c>
      <c r="G8" s="20">
        <v>116</v>
      </c>
      <c r="H8" s="21">
        <f t="shared" si="1"/>
        <v>2.8459273797841019E-2</v>
      </c>
      <c r="I8" s="21">
        <f t="shared" si="2"/>
        <v>3.1016042780748664E-2</v>
      </c>
      <c r="J8" s="20" t="s">
        <v>406</v>
      </c>
      <c r="K8" s="105" t="s">
        <v>418</v>
      </c>
    </row>
    <row r="9" spans="2:11" ht="118.5" customHeight="1">
      <c r="B9" s="107" t="s">
        <v>417</v>
      </c>
      <c r="C9" s="20">
        <v>2019</v>
      </c>
      <c r="D9" s="20">
        <v>4791</v>
      </c>
      <c r="E9" s="20">
        <v>4400</v>
      </c>
      <c r="F9" s="21">
        <f t="shared" si="0"/>
        <v>0.91838864537674803</v>
      </c>
      <c r="G9" s="20">
        <v>129</v>
      </c>
      <c r="H9" s="21">
        <f t="shared" si="1"/>
        <v>2.6925485284909206E-2</v>
      </c>
      <c r="I9" s="21" t="s">
        <v>406</v>
      </c>
      <c r="J9" s="20" t="s">
        <v>406</v>
      </c>
      <c r="K9" s="105" t="s">
        <v>419</v>
      </c>
    </row>
    <row r="10" spans="2:11" ht="150" customHeight="1">
      <c r="B10" s="107" t="s">
        <v>420</v>
      </c>
      <c r="C10" s="20">
        <v>2019</v>
      </c>
      <c r="D10" s="20">
        <v>10302</v>
      </c>
      <c r="E10" s="20">
        <v>494</v>
      </c>
      <c r="F10" s="21">
        <f>E10/D10</f>
        <v>4.7951854008930303E-2</v>
      </c>
      <c r="G10" s="20">
        <v>0</v>
      </c>
      <c r="H10" s="21">
        <f t="shared" si="1"/>
        <v>0</v>
      </c>
      <c r="I10" s="21" t="s">
        <v>406</v>
      </c>
      <c r="J10" s="20" t="s">
        <v>406</v>
      </c>
      <c r="K10" s="105" t="s">
        <v>421</v>
      </c>
    </row>
    <row r="11" spans="2:11" ht="96" customHeight="1">
      <c r="B11" s="107" t="s">
        <v>422</v>
      </c>
      <c r="C11" s="105" t="s">
        <v>406</v>
      </c>
      <c r="D11" s="20" t="s">
        <v>406</v>
      </c>
      <c r="E11" s="20" t="s">
        <v>406</v>
      </c>
      <c r="F11" s="23">
        <v>1</v>
      </c>
      <c r="G11" s="20" t="s">
        <v>406</v>
      </c>
      <c r="H11" s="23">
        <v>0.3</v>
      </c>
      <c r="I11" s="21" t="s">
        <v>406</v>
      </c>
      <c r="J11" s="20" t="s">
        <v>406</v>
      </c>
      <c r="K11" s="105" t="s">
        <v>423</v>
      </c>
    </row>
    <row r="12" spans="2:11" ht="77.25" customHeight="1">
      <c r="B12" s="107" t="s">
        <v>424</v>
      </c>
      <c r="C12" s="20" t="s">
        <v>406</v>
      </c>
      <c r="D12" s="20" t="s">
        <v>406</v>
      </c>
      <c r="E12" s="20" t="s">
        <v>406</v>
      </c>
      <c r="F12" s="23">
        <v>1</v>
      </c>
      <c r="G12" s="20" t="s">
        <v>406</v>
      </c>
      <c r="H12" s="21" t="s">
        <v>502</v>
      </c>
      <c r="I12" s="21" t="s">
        <v>406</v>
      </c>
      <c r="J12" s="20" t="s">
        <v>406</v>
      </c>
      <c r="K12" s="105" t="s">
        <v>425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77"/>
  <sheetViews>
    <sheetView zoomScale="80" zoomScaleNormal="80" workbookViewId="0">
      <pane ySplit="1" topLeftCell="A2" activePane="bottomLeft" state="frozen"/>
      <selection activeCell="S1" sqref="S1"/>
      <selection pane="bottomLeft" activeCell="AP10" sqref="AP10"/>
    </sheetView>
  </sheetViews>
  <sheetFormatPr defaultColWidth="8.77734375" defaultRowHeight="14.4"/>
  <cols>
    <col min="1" max="1" width="12" style="114" customWidth="1"/>
    <col min="2" max="2" width="15.44140625" style="114" customWidth="1"/>
    <col min="3" max="3" width="10.44140625" style="114" customWidth="1"/>
    <col min="4" max="4" width="15.77734375" style="114" customWidth="1"/>
    <col min="5" max="5" width="18.44140625" style="114" customWidth="1"/>
    <col min="6" max="6" width="12" style="114" customWidth="1"/>
    <col min="7" max="7" width="9.44140625" style="114" customWidth="1"/>
    <col min="8" max="8" width="8.77734375" style="114"/>
    <col min="9" max="9" width="9.77734375" style="114" customWidth="1"/>
    <col min="10" max="10" width="15.21875" style="114" customWidth="1"/>
    <col min="11" max="11" width="14.77734375" style="114" customWidth="1"/>
    <col min="12" max="17" width="16.21875" style="114" customWidth="1"/>
    <col min="18" max="18" width="17.21875" style="114" customWidth="1"/>
    <col min="19" max="19" width="5.21875" style="114" customWidth="1"/>
    <col min="20" max="20" width="18.44140625" style="114" customWidth="1"/>
    <col min="21" max="26" width="16.77734375" style="114" customWidth="1"/>
    <col min="27" max="27" width="9.44140625" style="114" customWidth="1"/>
    <col min="28" max="28" width="5.44140625" style="114" customWidth="1"/>
    <col min="29" max="29" width="11.5546875" style="114" customWidth="1"/>
    <col min="30" max="31" width="12.44140625" style="114" customWidth="1"/>
    <col min="32" max="33" width="15" style="114" bestFit="1" customWidth="1"/>
    <col min="34" max="35" width="15.77734375" style="114" bestFit="1" customWidth="1"/>
    <col min="36" max="37" width="17.44140625" style="114" bestFit="1" customWidth="1"/>
    <col min="38" max="39" width="14" style="114" customWidth="1"/>
    <col min="40" max="40" width="7.77734375" style="114" customWidth="1"/>
    <col min="41" max="42" width="12.44140625" style="114" customWidth="1"/>
    <col min="43" max="43" width="12" style="114" customWidth="1"/>
    <col min="44" max="45" width="8.77734375" style="114" customWidth="1"/>
    <col min="46" max="46" width="11.21875" style="114" customWidth="1"/>
    <col min="47" max="47" width="15" style="114" customWidth="1"/>
    <col min="48" max="48" width="8.77734375" style="114"/>
    <col min="49" max="49" width="10.44140625" style="114" customWidth="1"/>
    <col min="50" max="50" width="11.44140625" style="114" customWidth="1"/>
    <col min="51" max="51" width="15" style="114" customWidth="1"/>
    <col min="52" max="52" width="8.77734375" style="114"/>
    <col min="53" max="53" width="11.33203125" style="114" bestFit="1" customWidth="1"/>
    <col min="54" max="16384" width="8.77734375" style="1"/>
  </cols>
  <sheetData>
    <row r="1" spans="1:53" ht="49.5" customHeight="1">
      <c r="D1" s="132" t="s">
        <v>0</v>
      </c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U1" s="129" t="s">
        <v>1</v>
      </c>
      <c r="V1" s="129" t="s">
        <v>2</v>
      </c>
      <c r="W1" s="129" t="s">
        <v>3</v>
      </c>
      <c r="X1" s="129" t="s">
        <v>4</v>
      </c>
      <c r="Y1" s="129" t="s">
        <v>5</v>
      </c>
      <c r="Z1" s="129" t="s">
        <v>6</v>
      </c>
      <c r="AC1" s="134" t="s">
        <v>7</v>
      </c>
      <c r="AD1" s="134" t="s">
        <v>512</v>
      </c>
      <c r="AE1" s="134" t="s">
        <v>511</v>
      </c>
      <c r="AF1" s="135" t="s">
        <v>8</v>
      </c>
      <c r="AG1" s="135" t="s">
        <v>9</v>
      </c>
      <c r="AH1" s="135" t="s">
        <v>10</v>
      </c>
      <c r="AI1" s="135" t="s">
        <v>11</v>
      </c>
      <c r="AJ1" s="135" t="s">
        <v>12</v>
      </c>
      <c r="AK1" s="135" t="s">
        <v>13</v>
      </c>
      <c r="AL1" s="134" t="s">
        <v>14</v>
      </c>
      <c r="AM1" s="134" t="s">
        <v>15</v>
      </c>
      <c r="AN1" s="134" t="s">
        <v>16</v>
      </c>
      <c r="AO1" s="134" t="s">
        <v>17</v>
      </c>
      <c r="AP1" s="134" t="s">
        <v>18</v>
      </c>
      <c r="AQ1" s="133"/>
      <c r="AR1" s="109" t="s">
        <v>19</v>
      </c>
      <c r="AT1" s="130" t="s">
        <v>20</v>
      </c>
      <c r="AW1" s="130" t="s">
        <v>21</v>
      </c>
      <c r="AX1" s="130" t="s">
        <v>22</v>
      </c>
      <c r="AY1" s="130" t="s">
        <v>510</v>
      </c>
    </row>
    <row r="2" spans="1:53" s="7" customFormat="1" ht="47.55" customHeight="1">
      <c r="A2" s="129" t="s">
        <v>23</v>
      </c>
      <c r="B2" s="129" t="s">
        <v>24</v>
      </c>
      <c r="C2" s="129" t="s">
        <v>25</v>
      </c>
      <c r="D2" s="136" t="s">
        <v>26</v>
      </c>
      <c r="E2" s="129" t="s">
        <v>27</v>
      </c>
      <c r="F2" s="136" t="s">
        <v>28</v>
      </c>
      <c r="G2" s="136" t="s">
        <v>29</v>
      </c>
      <c r="H2" s="136" t="s">
        <v>30</v>
      </c>
      <c r="I2" s="136" t="s">
        <v>29</v>
      </c>
      <c r="J2" s="136" t="s">
        <v>31</v>
      </c>
      <c r="K2" s="129" t="s">
        <v>32</v>
      </c>
      <c r="L2" s="136" t="s">
        <v>33</v>
      </c>
      <c r="M2" s="136" t="s">
        <v>34</v>
      </c>
      <c r="N2" s="136" t="s">
        <v>35</v>
      </c>
      <c r="O2" s="129" t="s">
        <v>36</v>
      </c>
      <c r="P2" s="129" t="s">
        <v>37</v>
      </c>
      <c r="Q2" s="136" t="s">
        <v>38</v>
      </c>
      <c r="R2" s="129" t="s">
        <v>39</v>
      </c>
      <c r="S2" s="133"/>
      <c r="T2" s="114" t="s">
        <v>40</v>
      </c>
      <c r="U2" s="133">
        <f>E57*E62/7</f>
        <v>4.2857142857142858E-2</v>
      </c>
      <c r="V2" s="133">
        <f>U2</f>
        <v>4.2857142857142858E-2</v>
      </c>
      <c r="W2" s="133">
        <f>E59*E62/7</f>
        <v>1.0714285714285714E-2</v>
      </c>
      <c r="X2" s="133">
        <f>W2</f>
        <v>1.0714285714285714E-2</v>
      </c>
      <c r="Y2" s="133">
        <v>0.02</v>
      </c>
      <c r="Z2" s="133">
        <v>0.02</v>
      </c>
      <c r="AA2" s="133" t="s">
        <v>41</v>
      </c>
      <c r="AB2" s="133"/>
      <c r="AC2" s="133"/>
      <c r="AD2" s="133"/>
      <c r="AE2" s="133"/>
      <c r="AF2" s="114"/>
      <c r="AG2" s="114"/>
      <c r="AH2" s="137"/>
      <c r="AI2" s="137"/>
      <c r="AJ2" s="137"/>
      <c r="AK2" s="137"/>
      <c r="AL2" s="133"/>
      <c r="AM2" s="133"/>
      <c r="AN2" s="133"/>
      <c r="AO2" s="133"/>
      <c r="AP2" s="133"/>
      <c r="AQ2" s="133"/>
      <c r="AR2" s="109"/>
      <c r="AS2" s="133"/>
      <c r="AT2" s="114" t="s">
        <v>42</v>
      </c>
      <c r="AU2" s="133" t="s">
        <v>43</v>
      </c>
      <c r="AV2" s="133"/>
      <c r="AW2" s="133" t="s">
        <v>44</v>
      </c>
      <c r="AX2" s="133" t="s">
        <v>45</v>
      </c>
      <c r="AY2" s="133" t="s">
        <v>46</v>
      </c>
      <c r="AZ2" s="133"/>
      <c r="BA2" s="133"/>
    </row>
    <row r="3" spans="1:53" ht="43.2">
      <c r="A3" s="130" t="s">
        <v>47</v>
      </c>
      <c r="B3" s="138" t="s">
        <v>48</v>
      </c>
      <c r="C3" s="114" t="s">
        <v>49</v>
      </c>
      <c r="D3" s="114">
        <f t="shared" ref="D3:D10" si="0">13*10*2.8-8-10</f>
        <v>346</v>
      </c>
      <c r="E3" s="114">
        <f t="shared" ref="E3:E10" si="1">13*10-8</f>
        <v>122</v>
      </c>
      <c r="F3" s="114">
        <v>40</v>
      </c>
      <c r="G3" s="114" t="s">
        <v>50</v>
      </c>
      <c r="H3" s="114">
        <v>1</v>
      </c>
      <c r="I3" s="114" t="s">
        <v>50</v>
      </c>
      <c r="J3" s="114">
        <v>5</v>
      </c>
      <c r="K3" s="114">
        <v>9</v>
      </c>
      <c r="L3" s="139">
        <f>3600/(1046*D3/(K3*110))</f>
        <v>9.8475889432907078</v>
      </c>
      <c r="M3" s="139">
        <f>L3*10</f>
        <v>98.475889432907081</v>
      </c>
      <c r="N3" s="140">
        <v>1720</v>
      </c>
      <c r="O3" s="140">
        <v>4</v>
      </c>
      <c r="P3" s="140">
        <f>ROUND(D3*L3/430, 0)</f>
        <v>8</v>
      </c>
      <c r="Q3" s="140" t="s">
        <v>51</v>
      </c>
      <c r="R3" s="114" t="s">
        <v>52</v>
      </c>
      <c r="T3" s="114" t="s">
        <v>53</v>
      </c>
      <c r="V3" s="138">
        <v>5</v>
      </c>
      <c r="X3" s="138">
        <v>2</v>
      </c>
      <c r="Z3" s="138">
        <v>2</v>
      </c>
      <c r="AA3" s="114">
        <f>_xlfn.BINOM.DIST(H3,F3,$U$2, FALSE)</f>
        <v>0.31058247809554773</v>
      </c>
      <c r="AC3" s="114">
        <v>2.2400000000000002</v>
      </c>
      <c r="AD3" s="137">
        <v>1.28</v>
      </c>
      <c r="AE3" s="137">
        <v>0.3</v>
      </c>
      <c r="AF3" s="137"/>
      <c r="AG3" s="137">
        <f>(AC3-AD3)*V3*22</f>
        <v>105.60000000000002</v>
      </c>
      <c r="AH3" s="137"/>
      <c r="AI3" s="137">
        <f>(AC3-AD3)*X3*4</f>
        <v>7.6800000000000015</v>
      </c>
      <c r="AJ3" s="137"/>
      <c r="AK3" s="137">
        <f>(AC3-AD3)*Z3*8</f>
        <v>15.360000000000003</v>
      </c>
      <c r="AL3" s="114">
        <v>2.2599999999999998</v>
      </c>
      <c r="AM3" s="114">
        <v>1.61</v>
      </c>
      <c r="AN3" s="114">
        <v>4.53</v>
      </c>
      <c r="AO3" s="114">
        <v>1.59</v>
      </c>
      <c r="AP3" s="114">
        <v>0.28999999999999998</v>
      </c>
      <c r="AR3" s="137">
        <f t="shared" ref="AR3:AR28" si="2">(AN3-AO3)*V3*20</f>
        <v>294.00000000000006</v>
      </c>
      <c r="AT3" s="137">
        <f>K3*110*3600/(E3*10000)</f>
        <v>2.9213114754098362</v>
      </c>
      <c r="AU3" s="137">
        <f>AT3*8</f>
        <v>23.370491803278689</v>
      </c>
      <c r="AW3" s="114">
        <f>700*O3</f>
        <v>2800</v>
      </c>
      <c r="AX3" s="114">
        <f>1500*K3</f>
        <v>13500</v>
      </c>
      <c r="AY3" s="114">
        <f>500*K3</f>
        <v>4500</v>
      </c>
      <c r="BA3" s="137">
        <f>AT3/3600*1000</f>
        <v>0.81147540983606559</v>
      </c>
    </row>
    <row r="4" spans="1:53" ht="28.8">
      <c r="A4" s="130" t="s">
        <v>47</v>
      </c>
      <c r="B4" s="138" t="s">
        <v>48</v>
      </c>
      <c r="C4" s="114" t="s">
        <v>49</v>
      </c>
      <c r="D4" s="114">
        <f t="shared" si="0"/>
        <v>346</v>
      </c>
      <c r="E4" s="114">
        <f t="shared" si="1"/>
        <v>122</v>
      </c>
      <c r="F4" s="114">
        <v>40</v>
      </c>
      <c r="G4" s="114" t="s">
        <v>50</v>
      </c>
      <c r="H4" s="114">
        <v>1</v>
      </c>
      <c r="I4" s="114" t="s">
        <v>50</v>
      </c>
      <c r="J4" s="114">
        <v>5</v>
      </c>
      <c r="K4" s="114">
        <v>9</v>
      </c>
      <c r="L4" s="139">
        <f t="shared" ref="L4:L10" si="3">3600/(1046*D4/(K4*110))</f>
        <v>9.8475889432907078</v>
      </c>
      <c r="M4" s="139">
        <f t="shared" ref="M4:M52" si="4">L4*10</f>
        <v>98.475889432907081</v>
      </c>
      <c r="N4" s="140">
        <v>1720</v>
      </c>
      <c r="O4" s="140">
        <v>4</v>
      </c>
      <c r="P4" s="140">
        <f t="shared" ref="P4:P52" si="5">ROUND(D4*L4/430, 0)</f>
        <v>8</v>
      </c>
      <c r="Q4" s="140" t="s">
        <v>54</v>
      </c>
      <c r="R4" s="114" t="s">
        <v>52</v>
      </c>
      <c r="T4" s="141" t="s">
        <v>55</v>
      </c>
      <c r="U4" s="142">
        <v>5</v>
      </c>
      <c r="W4" s="142">
        <v>2</v>
      </c>
      <c r="Y4" s="142">
        <v>2</v>
      </c>
      <c r="AA4" s="114">
        <f>_xlfn.BINOM.DIST(H4,F4,$U$2, FALSE)</f>
        <v>0.31058247809554773</v>
      </c>
      <c r="AC4" s="114">
        <v>3.17</v>
      </c>
      <c r="AD4" s="137">
        <v>1.96</v>
      </c>
      <c r="AE4" s="114">
        <v>0.55000000000000004</v>
      </c>
      <c r="AF4" s="137">
        <f>(AC4-AD4)*U4*22</f>
        <v>133.1</v>
      </c>
      <c r="AG4" s="137"/>
      <c r="AH4" s="137">
        <f t="shared" ref="AH4:AH28" si="6">(AC4-AD4)*W4*4</f>
        <v>9.68</v>
      </c>
      <c r="AI4" s="137"/>
      <c r="AJ4" s="137">
        <f t="shared" ref="AJ4:AJ52" si="7">(AC4-AD4)*Y4*8</f>
        <v>19.36</v>
      </c>
      <c r="AK4" s="137"/>
      <c r="AL4" s="137">
        <v>3.2</v>
      </c>
      <c r="AM4" s="114">
        <v>2.36</v>
      </c>
      <c r="AN4" s="114">
        <v>5.84</v>
      </c>
      <c r="AO4" s="114">
        <v>2.48</v>
      </c>
      <c r="AP4" s="114">
        <v>0.53</v>
      </c>
      <c r="AR4" s="137">
        <f t="shared" si="2"/>
        <v>0</v>
      </c>
      <c r="AT4" s="137">
        <f t="shared" ref="AT4:AT52" si="8">K4*110*3600/(E4*10000)</f>
        <v>2.9213114754098362</v>
      </c>
      <c r="AU4" s="137">
        <f t="shared" ref="AU4:AU52" si="9">AT4*8</f>
        <v>23.370491803278689</v>
      </c>
      <c r="AW4" s="114">
        <f t="shared" ref="AW4:AW52" si="10">700*O4</f>
        <v>2800</v>
      </c>
      <c r="AX4" s="114">
        <f t="shared" ref="AX4:AX52" si="11">1500*K4</f>
        <v>13500</v>
      </c>
      <c r="AY4" s="114">
        <f t="shared" ref="AY4:AY52" si="12">500*K4</f>
        <v>4500</v>
      </c>
      <c r="BA4" s="137">
        <f t="shared" ref="BA4:BA52" si="13">AT4/3600*1000</f>
        <v>0.81147540983606559</v>
      </c>
    </row>
    <row r="5" spans="1:53" ht="28.8">
      <c r="A5" s="130" t="s">
        <v>47</v>
      </c>
      <c r="B5" s="138" t="s">
        <v>48</v>
      </c>
      <c r="C5" s="114" t="s">
        <v>49</v>
      </c>
      <c r="D5" s="114">
        <f t="shared" si="0"/>
        <v>346</v>
      </c>
      <c r="E5" s="114">
        <f t="shared" si="1"/>
        <v>122</v>
      </c>
      <c r="F5" s="114">
        <v>70</v>
      </c>
      <c r="G5" s="114" t="s">
        <v>56</v>
      </c>
      <c r="H5" s="114">
        <v>2</v>
      </c>
      <c r="I5" s="114" t="s">
        <v>56</v>
      </c>
      <c r="J5" s="114">
        <v>5</v>
      </c>
      <c r="K5" s="143">
        <v>9</v>
      </c>
      <c r="L5" s="144">
        <f t="shared" si="3"/>
        <v>9.8475889432907078</v>
      </c>
      <c r="M5" s="139">
        <f t="shared" si="4"/>
        <v>98.475889432907081</v>
      </c>
      <c r="N5" s="145">
        <v>1720</v>
      </c>
      <c r="O5" s="145">
        <v>4</v>
      </c>
      <c r="P5" s="140">
        <f t="shared" si="5"/>
        <v>8</v>
      </c>
      <c r="Q5" s="145" t="s">
        <v>51</v>
      </c>
      <c r="R5" s="114" t="s">
        <v>52</v>
      </c>
      <c r="T5" s="114" t="s">
        <v>57</v>
      </c>
      <c r="V5" s="146">
        <v>0</v>
      </c>
      <c r="W5" s="147"/>
      <c r="X5" s="138">
        <v>1</v>
      </c>
      <c r="Z5" s="138">
        <v>1</v>
      </c>
      <c r="AA5" s="114">
        <f t="shared" ref="AA5:AA51" si="14">_xlfn.BINOM.DIST(H5,F5,$U$2, FALSE)</f>
        <v>0.22562302995228167</v>
      </c>
      <c r="AC5" s="114">
        <v>5.62</v>
      </c>
      <c r="AD5" s="114">
        <v>3.42</v>
      </c>
      <c r="AE5" s="137">
        <v>0.9</v>
      </c>
      <c r="AF5" s="137"/>
      <c r="AG5" s="137">
        <f t="shared" ref="AG5:AG34" si="15">(AC5-AD5)*V5*22</f>
        <v>0</v>
      </c>
      <c r="AH5" s="137"/>
      <c r="AI5" s="137">
        <f t="shared" ref="AI5:AI27" si="16">(AC5-AD5)*X5*4</f>
        <v>8.8000000000000007</v>
      </c>
      <c r="AJ5" s="137"/>
      <c r="AK5" s="137">
        <f t="shared" ref="AK5:AK46" si="17">(AC5-AD5)*Z5*8</f>
        <v>17.600000000000001</v>
      </c>
      <c r="AL5" s="114">
        <v>5.66</v>
      </c>
      <c r="AM5" s="114">
        <v>4.22</v>
      </c>
      <c r="AN5" s="137">
        <v>10.3</v>
      </c>
      <c r="AO5" s="114">
        <v>4.21</v>
      </c>
      <c r="AP5" s="114">
        <v>0.95</v>
      </c>
      <c r="AR5" s="137">
        <f t="shared" si="2"/>
        <v>0</v>
      </c>
      <c r="AT5" s="137">
        <f t="shared" si="8"/>
        <v>2.9213114754098362</v>
      </c>
      <c r="AU5" s="137">
        <f t="shared" si="9"/>
        <v>23.370491803278689</v>
      </c>
      <c r="AW5" s="114">
        <f t="shared" si="10"/>
        <v>2800</v>
      </c>
      <c r="AX5" s="114">
        <f t="shared" si="11"/>
        <v>13500</v>
      </c>
      <c r="AY5" s="114">
        <f t="shared" si="12"/>
        <v>4500</v>
      </c>
      <c r="BA5" s="137">
        <f t="shared" si="13"/>
        <v>0.81147540983606559</v>
      </c>
    </row>
    <row r="6" spans="1:53" ht="28.8">
      <c r="A6" s="130" t="s">
        <v>47</v>
      </c>
      <c r="B6" s="138" t="s">
        <v>48</v>
      </c>
      <c r="C6" s="114" t="s">
        <v>49</v>
      </c>
      <c r="D6" s="114">
        <f t="shared" si="0"/>
        <v>346</v>
      </c>
      <c r="E6" s="114">
        <f t="shared" si="1"/>
        <v>122</v>
      </c>
      <c r="F6" s="114">
        <v>70</v>
      </c>
      <c r="G6" s="114" t="s">
        <v>56</v>
      </c>
      <c r="H6" s="114">
        <v>2</v>
      </c>
      <c r="I6" s="114" t="s">
        <v>56</v>
      </c>
      <c r="J6" s="114">
        <v>5</v>
      </c>
      <c r="K6" s="143">
        <v>9</v>
      </c>
      <c r="L6" s="144">
        <f t="shared" si="3"/>
        <v>9.8475889432907078</v>
      </c>
      <c r="M6" s="139">
        <f t="shared" si="4"/>
        <v>98.475889432907081</v>
      </c>
      <c r="N6" s="145">
        <v>1720</v>
      </c>
      <c r="O6" s="145">
        <v>4</v>
      </c>
      <c r="P6" s="140">
        <f t="shared" si="5"/>
        <v>8</v>
      </c>
      <c r="Q6" s="145" t="s">
        <v>54</v>
      </c>
      <c r="R6" s="114" t="s">
        <v>52</v>
      </c>
      <c r="S6" s="137"/>
      <c r="T6" s="137"/>
      <c r="U6" s="142">
        <v>0</v>
      </c>
      <c r="V6" s="147"/>
      <c r="W6" s="148">
        <v>1</v>
      </c>
      <c r="Y6" s="142">
        <v>1</v>
      </c>
      <c r="AA6" s="114">
        <f t="shared" si="14"/>
        <v>0.22562302995228167</v>
      </c>
      <c r="AC6" s="114">
        <v>7.67</v>
      </c>
      <c r="AD6" s="114">
        <v>5.01</v>
      </c>
      <c r="AE6" s="114">
        <v>1.56</v>
      </c>
      <c r="AF6" s="137">
        <f>(AC6-AD6)*U6*22</f>
        <v>0</v>
      </c>
      <c r="AG6" s="137"/>
      <c r="AH6" s="137">
        <f t="shared" si="6"/>
        <v>10.64</v>
      </c>
      <c r="AI6" s="137"/>
      <c r="AJ6" s="137">
        <f t="shared" si="7"/>
        <v>21.28</v>
      </c>
      <c r="AK6" s="137"/>
      <c r="AL6" s="114">
        <v>7.63</v>
      </c>
      <c r="AM6" s="114">
        <v>5.94</v>
      </c>
      <c r="AN6" s="114">
        <v>12.97</v>
      </c>
      <c r="AO6" s="114">
        <v>5.93</v>
      </c>
      <c r="AP6" s="114">
        <v>1.63</v>
      </c>
      <c r="AR6" s="137">
        <f t="shared" si="2"/>
        <v>0</v>
      </c>
      <c r="AT6" s="137">
        <f t="shared" si="8"/>
        <v>2.9213114754098362</v>
      </c>
      <c r="AU6" s="137">
        <f t="shared" si="9"/>
        <v>23.370491803278689</v>
      </c>
      <c r="AW6" s="114">
        <f t="shared" si="10"/>
        <v>2800</v>
      </c>
      <c r="AX6" s="114">
        <f t="shared" si="11"/>
        <v>13500</v>
      </c>
      <c r="AY6" s="114">
        <f t="shared" si="12"/>
        <v>4500</v>
      </c>
      <c r="BA6" s="137">
        <f t="shared" si="13"/>
        <v>0.81147540983606559</v>
      </c>
    </row>
    <row r="7" spans="1:53" ht="28.8">
      <c r="A7" s="130" t="s">
        <v>47</v>
      </c>
      <c r="B7" s="138" t="s">
        <v>48</v>
      </c>
      <c r="C7" s="114" t="s">
        <v>49</v>
      </c>
      <c r="D7" s="114">
        <f t="shared" si="0"/>
        <v>346</v>
      </c>
      <c r="E7" s="114">
        <f t="shared" si="1"/>
        <v>122</v>
      </c>
      <c r="F7" s="114">
        <v>70</v>
      </c>
      <c r="G7" s="114" t="s">
        <v>56</v>
      </c>
      <c r="H7" s="114">
        <v>3</v>
      </c>
      <c r="I7" s="114" t="s">
        <v>56</v>
      </c>
      <c r="J7" s="114">
        <v>5</v>
      </c>
      <c r="K7" s="143">
        <v>9</v>
      </c>
      <c r="L7" s="144">
        <f t="shared" si="3"/>
        <v>9.8475889432907078</v>
      </c>
      <c r="M7" s="139">
        <f t="shared" si="4"/>
        <v>98.475889432907081</v>
      </c>
      <c r="N7" s="145">
        <v>1720</v>
      </c>
      <c r="O7" s="145">
        <v>4</v>
      </c>
      <c r="P7" s="140">
        <f t="shared" si="5"/>
        <v>8</v>
      </c>
      <c r="Q7" s="145" t="s">
        <v>51</v>
      </c>
      <c r="R7" s="114" t="s">
        <v>52</v>
      </c>
      <c r="V7" s="138">
        <v>1</v>
      </c>
      <c r="X7" s="138">
        <v>0</v>
      </c>
      <c r="Z7" s="138">
        <v>0</v>
      </c>
      <c r="AA7" s="114">
        <f>_xlfn.BINOM.DIST(H7,F7,$U$2, FALSE)</f>
        <v>0.22899053786201726</v>
      </c>
      <c r="AC7" s="114">
        <v>6.64</v>
      </c>
      <c r="AD7" s="114">
        <v>4.25</v>
      </c>
      <c r="AE7" s="114">
        <v>1.25</v>
      </c>
      <c r="AF7" s="137"/>
      <c r="AG7" s="137">
        <f t="shared" si="15"/>
        <v>52.579999999999991</v>
      </c>
      <c r="AH7" s="137"/>
      <c r="AI7" s="137">
        <f t="shared" si="16"/>
        <v>0</v>
      </c>
      <c r="AJ7" s="137"/>
      <c r="AK7" s="137">
        <f t="shared" si="17"/>
        <v>0</v>
      </c>
      <c r="AL7" s="114">
        <v>6.73</v>
      </c>
      <c r="AM7" s="114">
        <v>5.0599999999999996</v>
      </c>
      <c r="AN7" s="114">
        <v>11.73</v>
      </c>
      <c r="AO7" s="114">
        <v>5.0599999999999996</v>
      </c>
      <c r="AP7" s="137">
        <v>1.3</v>
      </c>
      <c r="AR7" s="137">
        <f t="shared" si="2"/>
        <v>133.4</v>
      </c>
      <c r="AT7" s="137">
        <f t="shared" si="8"/>
        <v>2.9213114754098362</v>
      </c>
      <c r="AU7" s="137">
        <f t="shared" si="9"/>
        <v>23.370491803278689</v>
      </c>
      <c r="AW7" s="114">
        <f t="shared" si="10"/>
        <v>2800</v>
      </c>
      <c r="AX7" s="114">
        <f t="shared" si="11"/>
        <v>13500</v>
      </c>
      <c r="AY7" s="114">
        <f t="shared" si="12"/>
        <v>4500</v>
      </c>
      <c r="BA7" s="137">
        <f t="shared" si="13"/>
        <v>0.81147540983606559</v>
      </c>
    </row>
    <row r="8" spans="1:53" ht="28.8">
      <c r="A8" s="130" t="s">
        <v>47</v>
      </c>
      <c r="B8" s="138" t="s">
        <v>48</v>
      </c>
      <c r="C8" s="114" t="s">
        <v>49</v>
      </c>
      <c r="D8" s="114">
        <f t="shared" si="0"/>
        <v>346</v>
      </c>
      <c r="E8" s="114">
        <f t="shared" si="1"/>
        <v>122</v>
      </c>
      <c r="F8" s="114">
        <v>70</v>
      </c>
      <c r="G8" s="114" t="s">
        <v>56</v>
      </c>
      <c r="H8" s="114">
        <v>3</v>
      </c>
      <c r="I8" s="114" t="s">
        <v>56</v>
      </c>
      <c r="J8" s="114">
        <v>5</v>
      </c>
      <c r="K8" s="143">
        <v>9</v>
      </c>
      <c r="L8" s="144">
        <f t="shared" si="3"/>
        <v>9.8475889432907078</v>
      </c>
      <c r="M8" s="139">
        <f t="shared" si="4"/>
        <v>98.475889432907081</v>
      </c>
      <c r="N8" s="145">
        <v>1720</v>
      </c>
      <c r="O8" s="145">
        <v>4</v>
      </c>
      <c r="P8" s="140">
        <f t="shared" si="5"/>
        <v>8</v>
      </c>
      <c r="Q8" s="145" t="s">
        <v>54</v>
      </c>
      <c r="R8" s="114" t="s">
        <v>52</v>
      </c>
      <c r="U8" s="142">
        <v>1</v>
      </c>
      <c r="W8" s="142">
        <v>0</v>
      </c>
      <c r="Y8" s="142">
        <v>0</v>
      </c>
      <c r="AA8" s="114">
        <f t="shared" si="14"/>
        <v>0.22899053786201726</v>
      </c>
      <c r="AC8" s="114">
        <v>8.91</v>
      </c>
      <c r="AD8" s="114">
        <v>6.02</v>
      </c>
      <c r="AE8" s="114">
        <v>2.04</v>
      </c>
      <c r="AF8" s="137">
        <f t="shared" ref="AF8:AF33" si="18">(AC8-AD8)*U8*22</f>
        <v>63.580000000000013</v>
      </c>
      <c r="AG8" s="137"/>
      <c r="AH8" s="137">
        <f t="shared" si="6"/>
        <v>0</v>
      </c>
      <c r="AI8" s="137"/>
      <c r="AJ8" s="137">
        <f t="shared" si="7"/>
        <v>0</v>
      </c>
      <c r="AK8" s="137"/>
      <c r="AL8" s="114">
        <v>8.86</v>
      </c>
      <c r="AM8" s="114">
        <v>7.09</v>
      </c>
      <c r="AN8" s="114">
        <v>14.46</v>
      </c>
      <c r="AO8" s="114">
        <v>7.04</v>
      </c>
      <c r="AP8" s="114">
        <v>2.16</v>
      </c>
      <c r="AR8" s="137">
        <f t="shared" si="2"/>
        <v>0</v>
      </c>
      <c r="AT8" s="137">
        <f t="shared" si="8"/>
        <v>2.9213114754098362</v>
      </c>
      <c r="AU8" s="137">
        <f t="shared" si="9"/>
        <v>23.370491803278689</v>
      </c>
      <c r="AW8" s="114">
        <f t="shared" si="10"/>
        <v>2800</v>
      </c>
      <c r="AX8" s="114">
        <f t="shared" si="11"/>
        <v>13500</v>
      </c>
      <c r="AY8" s="114">
        <f t="shared" si="12"/>
        <v>4500</v>
      </c>
      <c r="BA8" s="137">
        <f t="shared" si="13"/>
        <v>0.81147540983606559</v>
      </c>
    </row>
    <row r="9" spans="1:53" ht="28.8">
      <c r="A9" s="130" t="s">
        <v>47</v>
      </c>
      <c r="B9" s="138" t="s">
        <v>48</v>
      </c>
      <c r="C9" s="114" t="s">
        <v>49</v>
      </c>
      <c r="D9" s="114">
        <f t="shared" si="0"/>
        <v>346</v>
      </c>
      <c r="E9" s="114">
        <f t="shared" si="1"/>
        <v>122</v>
      </c>
      <c r="F9" s="114">
        <v>70</v>
      </c>
      <c r="G9" s="114" t="s">
        <v>56</v>
      </c>
      <c r="H9" s="114">
        <v>4</v>
      </c>
      <c r="I9" s="114" t="s">
        <v>56</v>
      </c>
      <c r="J9" s="114">
        <v>5</v>
      </c>
      <c r="K9" s="143">
        <v>9</v>
      </c>
      <c r="L9" s="144">
        <f t="shared" si="3"/>
        <v>9.8475889432907078</v>
      </c>
      <c r="M9" s="139">
        <f t="shared" si="4"/>
        <v>98.475889432907081</v>
      </c>
      <c r="N9" s="145">
        <v>1720</v>
      </c>
      <c r="O9" s="145">
        <v>4</v>
      </c>
      <c r="P9" s="140">
        <f t="shared" si="5"/>
        <v>8</v>
      </c>
      <c r="Q9" s="145" t="s">
        <v>51</v>
      </c>
      <c r="R9" s="114" t="s">
        <v>52</v>
      </c>
      <c r="U9" s="147"/>
      <c r="V9" s="138">
        <v>2</v>
      </c>
      <c r="W9" s="147"/>
      <c r="X9" s="138">
        <v>0</v>
      </c>
      <c r="Z9" s="138">
        <v>1</v>
      </c>
      <c r="AA9" s="114">
        <f t="shared" si="14"/>
        <v>0.17174290339651299</v>
      </c>
      <c r="AC9" s="114">
        <v>7.37</v>
      </c>
      <c r="AD9" s="114">
        <v>4.84</v>
      </c>
      <c r="AE9" s="114">
        <v>1.52</v>
      </c>
      <c r="AF9" s="137"/>
      <c r="AG9" s="137">
        <f t="shared" si="15"/>
        <v>111.32000000000001</v>
      </c>
      <c r="AH9" s="137"/>
      <c r="AI9" s="137">
        <f t="shared" si="16"/>
        <v>0</v>
      </c>
      <c r="AJ9" s="137"/>
      <c r="AK9" s="137">
        <f t="shared" si="17"/>
        <v>20.240000000000002</v>
      </c>
      <c r="AL9" s="114">
        <v>7.38</v>
      </c>
      <c r="AM9" s="114">
        <v>5.78</v>
      </c>
      <c r="AN9" s="114">
        <v>12.51</v>
      </c>
      <c r="AO9" s="114">
        <v>5.78</v>
      </c>
      <c r="AP9" s="114">
        <v>1.57</v>
      </c>
      <c r="AR9" s="137">
        <f t="shared" si="2"/>
        <v>269.2</v>
      </c>
      <c r="AT9" s="137">
        <f t="shared" si="8"/>
        <v>2.9213114754098362</v>
      </c>
      <c r="AU9" s="137">
        <f t="shared" si="9"/>
        <v>23.370491803278689</v>
      </c>
      <c r="AW9" s="114">
        <f t="shared" si="10"/>
        <v>2800</v>
      </c>
      <c r="AX9" s="114">
        <f t="shared" si="11"/>
        <v>13500</v>
      </c>
      <c r="AY9" s="114">
        <f t="shared" si="12"/>
        <v>4500</v>
      </c>
      <c r="BA9" s="137">
        <f t="shared" si="13"/>
        <v>0.81147540983606559</v>
      </c>
    </row>
    <row r="10" spans="1:53" ht="29.4" thickBot="1">
      <c r="A10" s="130" t="s">
        <v>47</v>
      </c>
      <c r="B10" s="138" t="s">
        <v>48</v>
      </c>
      <c r="C10" s="114" t="s">
        <v>49</v>
      </c>
      <c r="D10" s="114">
        <f t="shared" si="0"/>
        <v>346</v>
      </c>
      <c r="E10" s="114">
        <f t="shared" si="1"/>
        <v>122</v>
      </c>
      <c r="F10" s="114">
        <v>70</v>
      </c>
      <c r="G10" s="114" t="s">
        <v>56</v>
      </c>
      <c r="H10" s="114">
        <v>4</v>
      </c>
      <c r="I10" s="114" t="s">
        <v>56</v>
      </c>
      <c r="J10" s="114">
        <v>5</v>
      </c>
      <c r="K10" s="143">
        <v>9</v>
      </c>
      <c r="L10" s="144">
        <f t="shared" si="3"/>
        <v>9.8475889432907078</v>
      </c>
      <c r="M10" s="139">
        <f t="shared" si="4"/>
        <v>98.475889432907081</v>
      </c>
      <c r="N10" s="145">
        <v>1720</v>
      </c>
      <c r="O10" s="145">
        <v>4</v>
      </c>
      <c r="P10" s="140">
        <f t="shared" si="5"/>
        <v>8</v>
      </c>
      <c r="Q10" s="145" t="s">
        <v>54</v>
      </c>
      <c r="R10" s="114">
        <f>29*F10/D10</f>
        <v>5.8670520231213876</v>
      </c>
      <c r="U10" s="149">
        <v>2</v>
      </c>
      <c r="V10" s="150"/>
      <c r="W10" s="151">
        <v>0</v>
      </c>
      <c r="X10" s="152"/>
      <c r="Y10" s="153">
        <v>1</v>
      </c>
      <c r="Z10" s="152"/>
      <c r="AA10" s="114">
        <f t="shared" si="14"/>
        <v>0.17174290339651299</v>
      </c>
      <c r="AC10" s="114">
        <v>9.67</v>
      </c>
      <c r="AD10" s="114">
        <v>6.73</v>
      </c>
      <c r="AE10" s="114">
        <v>2.48</v>
      </c>
      <c r="AF10" s="137">
        <f t="shared" si="18"/>
        <v>129.35999999999999</v>
      </c>
      <c r="AG10" s="137"/>
      <c r="AH10" s="137">
        <f t="shared" si="6"/>
        <v>0</v>
      </c>
      <c r="AI10" s="137"/>
      <c r="AJ10" s="137">
        <f t="shared" si="7"/>
        <v>23.519999999999996</v>
      </c>
      <c r="AK10" s="137"/>
      <c r="AL10" s="114">
        <v>9.7200000000000006</v>
      </c>
      <c r="AM10" s="114">
        <v>7.75</v>
      </c>
      <c r="AN10" s="137">
        <v>15.5</v>
      </c>
      <c r="AO10" s="114">
        <v>7.78</v>
      </c>
      <c r="AP10" s="114">
        <v>2.5299999999999998</v>
      </c>
      <c r="AR10" s="137">
        <f t="shared" si="2"/>
        <v>0</v>
      </c>
      <c r="AT10" s="137">
        <f t="shared" si="8"/>
        <v>2.9213114754098362</v>
      </c>
      <c r="AU10" s="137">
        <f t="shared" si="9"/>
        <v>23.370491803278689</v>
      </c>
      <c r="AW10" s="114">
        <f t="shared" si="10"/>
        <v>2800</v>
      </c>
      <c r="AX10" s="114">
        <f t="shared" si="11"/>
        <v>13500</v>
      </c>
      <c r="AY10" s="114">
        <f t="shared" si="12"/>
        <v>4500</v>
      </c>
      <c r="BA10" s="137">
        <f t="shared" si="13"/>
        <v>0.81147540983606559</v>
      </c>
    </row>
    <row r="11" spans="1:53" ht="28.8">
      <c r="A11" s="130" t="s">
        <v>47</v>
      </c>
      <c r="B11" s="154" t="s">
        <v>58</v>
      </c>
      <c r="C11" s="114" t="s">
        <v>59</v>
      </c>
      <c r="D11" s="114">
        <v>630</v>
      </c>
      <c r="E11" s="114">
        <v>180</v>
      </c>
      <c r="F11" s="114">
        <v>110</v>
      </c>
      <c r="G11" s="114" t="s">
        <v>60</v>
      </c>
      <c r="H11" s="155">
        <v>1</v>
      </c>
      <c r="I11" s="114" t="s">
        <v>60</v>
      </c>
      <c r="J11" s="114">
        <v>5</v>
      </c>
      <c r="K11" s="114">
        <v>13</v>
      </c>
      <c r="L11" s="144">
        <f t="shared" ref="L11" si="19">3600/(1046*D11/(K11*110))</f>
        <v>7.8120732040426111</v>
      </c>
      <c r="M11" s="139">
        <f t="shared" si="4"/>
        <v>78.120732040426105</v>
      </c>
      <c r="N11" s="145">
        <v>3440</v>
      </c>
      <c r="O11" s="145">
        <v>8</v>
      </c>
      <c r="P11" s="140">
        <f t="shared" si="5"/>
        <v>11</v>
      </c>
      <c r="Q11" s="145" t="s">
        <v>61</v>
      </c>
      <c r="T11" s="114" t="s">
        <v>62</v>
      </c>
      <c r="U11" s="156"/>
      <c r="V11" s="157">
        <v>30</v>
      </c>
      <c r="W11" s="156"/>
      <c r="X11" s="138">
        <v>8</v>
      </c>
      <c r="Z11" s="138">
        <v>14</v>
      </c>
      <c r="AA11" s="114">
        <f>_xlfn.BINOM.DIST(H11,F11,$U$2, FALSE)</f>
        <v>3.9799996391655872E-2</v>
      </c>
      <c r="AC11" s="137">
        <v>0.36</v>
      </c>
      <c r="AD11" s="137">
        <v>0.18</v>
      </c>
      <c r="AE11" s="137">
        <v>0.03</v>
      </c>
      <c r="AF11" s="137"/>
      <c r="AG11" s="137">
        <f t="shared" si="15"/>
        <v>118.79999999999998</v>
      </c>
      <c r="AH11" s="137"/>
      <c r="AI11" s="137">
        <f t="shared" si="16"/>
        <v>5.76</v>
      </c>
      <c r="AJ11" s="137"/>
      <c r="AK11" s="137">
        <f t="shared" si="17"/>
        <v>20.16</v>
      </c>
      <c r="AL11" s="137">
        <v>0.35</v>
      </c>
      <c r="AM11" s="137">
        <v>0.22</v>
      </c>
      <c r="AN11" s="137">
        <v>0.88</v>
      </c>
      <c r="AO11" s="137">
        <v>0.26</v>
      </c>
      <c r="AP11" s="137">
        <v>0.04</v>
      </c>
      <c r="AR11" s="137">
        <f t="shared" si="2"/>
        <v>372</v>
      </c>
      <c r="AT11" s="114">
        <f t="shared" si="8"/>
        <v>2.86</v>
      </c>
      <c r="AU11" s="114">
        <f t="shared" si="9"/>
        <v>22.88</v>
      </c>
      <c r="AW11" s="114">
        <f t="shared" si="10"/>
        <v>5600</v>
      </c>
      <c r="AX11" s="114">
        <f t="shared" si="11"/>
        <v>19500</v>
      </c>
      <c r="AY11" s="114">
        <f t="shared" si="12"/>
        <v>6500</v>
      </c>
      <c r="BA11" s="137">
        <f t="shared" si="13"/>
        <v>0.7944444444444444</v>
      </c>
    </row>
    <row r="12" spans="1:53" ht="28.8">
      <c r="A12" s="130" t="s">
        <v>47</v>
      </c>
      <c r="B12" s="154" t="s">
        <v>58</v>
      </c>
      <c r="C12" s="114" t="s">
        <v>59</v>
      </c>
      <c r="D12" s="114">
        <v>630</v>
      </c>
      <c r="E12" s="114">
        <v>180</v>
      </c>
      <c r="F12" s="114">
        <v>110</v>
      </c>
      <c r="G12" s="114" t="s">
        <v>60</v>
      </c>
      <c r="H12" s="155">
        <v>1</v>
      </c>
      <c r="I12" s="114" t="s">
        <v>60</v>
      </c>
      <c r="J12" s="114">
        <v>5</v>
      </c>
      <c r="K12" s="114">
        <v>13</v>
      </c>
      <c r="L12" s="144">
        <f>3600/(1046*D12/(K12*110))</f>
        <v>7.8120732040426111</v>
      </c>
      <c r="M12" s="139">
        <f t="shared" si="4"/>
        <v>78.120732040426105</v>
      </c>
      <c r="N12" s="145">
        <v>3440</v>
      </c>
      <c r="O12" s="145">
        <v>8</v>
      </c>
      <c r="P12" s="140">
        <f t="shared" si="5"/>
        <v>11</v>
      </c>
      <c r="Q12" s="145" t="s">
        <v>51</v>
      </c>
      <c r="T12" s="114" t="s">
        <v>63</v>
      </c>
      <c r="U12" s="148">
        <v>30</v>
      </c>
      <c r="V12" s="156"/>
      <c r="W12" s="148">
        <v>8</v>
      </c>
      <c r="Y12" s="142">
        <v>14</v>
      </c>
      <c r="AA12" s="114">
        <f t="shared" si="14"/>
        <v>3.9799996391655872E-2</v>
      </c>
      <c r="AC12" s="137">
        <v>1.8</v>
      </c>
      <c r="AD12" s="137">
        <v>0.98</v>
      </c>
      <c r="AE12" s="137">
        <v>0.2</v>
      </c>
      <c r="AF12" s="137">
        <f t="shared" si="18"/>
        <v>541.20000000000005</v>
      </c>
      <c r="AG12" s="137"/>
      <c r="AH12" s="137">
        <f t="shared" si="6"/>
        <v>26.240000000000002</v>
      </c>
      <c r="AI12" s="137"/>
      <c r="AJ12" s="137">
        <f t="shared" si="7"/>
        <v>91.84</v>
      </c>
      <c r="AK12" s="137"/>
      <c r="AL12" s="137">
        <v>1.72</v>
      </c>
      <c r="AM12" s="137">
        <v>1.1599999999999999</v>
      </c>
      <c r="AN12" s="137">
        <v>3.66</v>
      </c>
      <c r="AO12" s="137">
        <v>1.4</v>
      </c>
      <c r="AP12" s="137">
        <v>0.21</v>
      </c>
      <c r="AR12" s="137">
        <f t="shared" si="2"/>
        <v>0</v>
      </c>
      <c r="AT12" s="114">
        <f t="shared" si="8"/>
        <v>2.86</v>
      </c>
      <c r="AU12" s="114">
        <f t="shared" si="9"/>
        <v>22.88</v>
      </c>
      <c r="AW12" s="114">
        <f t="shared" si="10"/>
        <v>5600</v>
      </c>
      <c r="AX12" s="114">
        <f t="shared" si="11"/>
        <v>19500</v>
      </c>
      <c r="AY12" s="114">
        <f t="shared" si="12"/>
        <v>6500</v>
      </c>
      <c r="BA12" s="137">
        <f t="shared" si="13"/>
        <v>0.7944444444444444</v>
      </c>
    </row>
    <row r="13" spans="1:53" ht="28.8">
      <c r="A13" s="130" t="s">
        <v>47</v>
      </c>
      <c r="B13" s="154" t="s">
        <v>58</v>
      </c>
      <c r="C13" s="114" t="s">
        <v>59</v>
      </c>
      <c r="D13" s="114">
        <v>630</v>
      </c>
      <c r="E13" s="114">
        <v>180</v>
      </c>
      <c r="F13" s="114">
        <v>110</v>
      </c>
      <c r="G13" s="114" t="s">
        <v>60</v>
      </c>
      <c r="H13" s="155">
        <v>4</v>
      </c>
      <c r="I13" s="114" t="s">
        <v>60</v>
      </c>
      <c r="J13" s="114">
        <v>5</v>
      </c>
      <c r="K13" s="114">
        <v>13</v>
      </c>
      <c r="L13" s="144">
        <f t="shared" ref="L13:L31" si="20">3600/(1046*D13/(K13*110))</f>
        <v>7.8120732040426111</v>
      </c>
      <c r="M13" s="139">
        <f t="shared" si="4"/>
        <v>78.120732040426105</v>
      </c>
      <c r="N13" s="145">
        <v>3440</v>
      </c>
      <c r="O13" s="145">
        <v>8</v>
      </c>
      <c r="P13" s="140">
        <f t="shared" si="5"/>
        <v>11</v>
      </c>
      <c r="Q13" s="145" t="s">
        <v>61</v>
      </c>
      <c r="T13" s="141" t="s">
        <v>64</v>
      </c>
      <c r="V13" s="138">
        <v>14</v>
      </c>
      <c r="X13" s="138">
        <v>3</v>
      </c>
      <c r="Z13" s="138">
        <v>7</v>
      </c>
      <c r="AA13" s="114">
        <f t="shared" si="14"/>
        <v>0.18751895674261695</v>
      </c>
      <c r="AC13" s="114">
        <v>1.23</v>
      </c>
      <c r="AD13" s="114">
        <v>0.66</v>
      </c>
      <c r="AE13" s="114">
        <v>0.13</v>
      </c>
      <c r="AF13" s="137"/>
      <c r="AG13" s="137">
        <f t="shared" si="15"/>
        <v>175.56</v>
      </c>
      <c r="AH13" s="137"/>
      <c r="AI13" s="137">
        <f t="shared" si="16"/>
        <v>6.84</v>
      </c>
      <c r="AJ13" s="137"/>
      <c r="AK13" s="137">
        <f t="shared" si="17"/>
        <v>31.919999999999998</v>
      </c>
      <c r="AL13" s="114">
        <v>1.18</v>
      </c>
      <c r="AM13" s="114">
        <v>0.76</v>
      </c>
      <c r="AN13" s="114">
        <v>2.66</v>
      </c>
      <c r="AO13" s="114">
        <v>0.96</v>
      </c>
      <c r="AP13" s="114">
        <v>0.14000000000000001</v>
      </c>
      <c r="AR13" s="137">
        <f t="shared" si="2"/>
        <v>476.00000000000011</v>
      </c>
      <c r="AT13" s="114">
        <f t="shared" si="8"/>
        <v>2.86</v>
      </c>
      <c r="AU13" s="114">
        <f t="shared" si="9"/>
        <v>22.88</v>
      </c>
      <c r="AW13" s="114">
        <f t="shared" si="10"/>
        <v>5600</v>
      </c>
      <c r="AX13" s="114">
        <f t="shared" si="11"/>
        <v>19500</v>
      </c>
      <c r="AY13" s="114">
        <f t="shared" si="12"/>
        <v>6500</v>
      </c>
      <c r="BA13" s="137">
        <f t="shared" si="13"/>
        <v>0.7944444444444444</v>
      </c>
    </row>
    <row r="14" spans="1:53" ht="28.8">
      <c r="A14" s="130" t="s">
        <v>47</v>
      </c>
      <c r="B14" s="154" t="s">
        <v>58</v>
      </c>
      <c r="C14" s="114" t="s">
        <v>59</v>
      </c>
      <c r="D14" s="114">
        <v>630</v>
      </c>
      <c r="E14" s="114">
        <v>180</v>
      </c>
      <c r="F14" s="114">
        <v>110</v>
      </c>
      <c r="G14" s="114" t="s">
        <v>60</v>
      </c>
      <c r="H14" s="155">
        <v>4</v>
      </c>
      <c r="I14" s="114" t="s">
        <v>60</v>
      </c>
      <c r="J14" s="114">
        <v>5</v>
      </c>
      <c r="K14" s="114">
        <v>13</v>
      </c>
      <c r="L14" s="144">
        <f t="shared" ref="L14:L22" si="21">3600/(1046*D14/(K14*110))</f>
        <v>7.8120732040426111</v>
      </c>
      <c r="M14" s="139">
        <f t="shared" si="4"/>
        <v>78.120732040426105</v>
      </c>
      <c r="N14" s="145">
        <v>3440</v>
      </c>
      <c r="O14" s="145">
        <v>8</v>
      </c>
      <c r="P14" s="140">
        <f t="shared" si="5"/>
        <v>11</v>
      </c>
      <c r="Q14" s="145" t="s">
        <v>51</v>
      </c>
      <c r="T14" s="114" t="s">
        <v>65</v>
      </c>
      <c r="U14" s="142">
        <v>14</v>
      </c>
      <c r="W14" s="142">
        <v>3</v>
      </c>
      <c r="Y14" s="142">
        <v>7</v>
      </c>
      <c r="AA14" s="114">
        <f t="shared" si="14"/>
        <v>0.18751895674261695</v>
      </c>
      <c r="AC14" s="137">
        <v>4.6399999999999997</v>
      </c>
      <c r="AD14" s="137">
        <v>2.91</v>
      </c>
      <c r="AE14" s="137">
        <v>0.7</v>
      </c>
      <c r="AF14" s="137">
        <f t="shared" si="18"/>
        <v>532.8399999999998</v>
      </c>
      <c r="AG14" s="137"/>
      <c r="AH14" s="137">
        <f t="shared" si="6"/>
        <v>20.759999999999994</v>
      </c>
      <c r="AI14" s="137"/>
      <c r="AJ14" s="137">
        <f t="shared" si="7"/>
        <v>96.879999999999967</v>
      </c>
      <c r="AK14" s="137"/>
      <c r="AL14" s="137">
        <v>4.57</v>
      </c>
      <c r="AM14" s="137">
        <v>3.3</v>
      </c>
      <c r="AN14" s="137">
        <v>7.91</v>
      </c>
      <c r="AO14" s="137">
        <v>3.83</v>
      </c>
      <c r="AP14" s="137">
        <v>0.76</v>
      </c>
      <c r="AR14" s="137">
        <f t="shared" si="2"/>
        <v>0</v>
      </c>
      <c r="AT14" s="114">
        <f t="shared" si="8"/>
        <v>2.86</v>
      </c>
      <c r="AU14" s="114">
        <f t="shared" si="9"/>
        <v>22.88</v>
      </c>
      <c r="AW14" s="114">
        <f t="shared" si="10"/>
        <v>5600</v>
      </c>
      <c r="AX14" s="114">
        <f t="shared" si="11"/>
        <v>19500</v>
      </c>
      <c r="AY14" s="114">
        <f t="shared" si="12"/>
        <v>6500</v>
      </c>
      <c r="BA14" s="137">
        <f t="shared" si="13"/>
        <v>0.7944444444444444</v>
      </c>
    </row>
    <row r="15" spans="1:53" ht="28.8">
      <c r="A15" s="130" t="s">
        <v>47</v>
      </c>
      <c r="B15" s="154" t="s">
        <v>58</v>
      </c>
      <c r="C15" s="114" t="s">
        <v>59</v>
      </c>
      <c r="D15" s="114">
        <v>630</v>
      </c>
      <c r="E15" s="114">
        <v>180</v>
      </c>
      <c r="F15" s="114">
        <v>110</v>
      </c>
      <c r="G15" s="114" t="s">
        <v>60</v>
      </c>
      <c r="H15" s="155">
        <v>6</v>
      </c>
      <c r="I15" s="114" t="s">
        <v>66</v>
      </c>
      <c r="J15" s="114">
        <v>5</v>
      </c>
      <c r="K15" s="114">
        <v>13</v>
      </c>
      <c r="L15" s="144">
        <f t="shared" si="21"/>
        <v>7.8120732040426111</v>
      </c>
      <c r="M15" s="139">
        <f t="shared" si="4"/>
        <v>78.120732040426105</v>
      </c>
      <c r="N15" s="145">
        <v>3440</v>
      </c>
      <c r="O15" s="145">
        <v>8</v>
      </c>
      <c r="P15" s="140">
        <f t="shared" si="5"/>
        <v>11</v>
      </c>
      <c r="Q15" s="145" t="s">
        <v>61</v>
      </c>
      <c r="V15" s="138">
        <v>7</v>
      </c>
      <c r="X15" s="138">
        <v>2</v>
      </c>
      <c r="Z15" s="138">
        <v>3</v>
      </c>
      <c r="AA15" s="114">
        <f t="shared" si="14"/>
        <v>0.13948001705582491</v>
      </c>
      <c r="AC15" s="137">
        <v>1.0900000000000001</v>
      </c>
      <c r="AD15" s="137">
        <v>0.54</v>
      </c>
      <c r="AE15" s="137">
        <v>0.1</v>
      </c>
      <c r="AF15" s="137"/>
      <c r="AG15" s="137">
        <f t="shared" si="15"/>
        <v>84.700000000000017</v>
      </c>
      <c r="AH15" s="137"/>
      <c r="AI15" s="137">
        <f t="shared" si="16"/>
        <v>4.4000000000000004</v>
      </c>
      <c r="AJ15" s="137"/>
      <c r="AK15" s="137">
        <f t="shared" si="17"/>
        <v>13.200000000000001</v>
      </c>
      <c r="AL15" s="137">
        <v>1.04</v>
      </c>
      <c r="AM15" s="137">
        <v>0.64</v>
      </c>
      <c r="AN15" s="137">
        <v>2.76</v>
      </c>
      <c r="AO15" s="137">
        <v>0.8</v>
      </c>
      <c r="AP15" s="137">
        <v>0.1</v>
      </c>
      <c r="AR15" s="137">
        <f t="shared" si="2"/>
        <v>274.39999999999998</v>
      </c>
      <c r="AT15" s="114">
        <f t="shared" si="8"/>
        <v>2.86</v>
      </c>
      <c r="AU15" s="114">
        <f t="shared" si="9"/>
        <v>22.88</v>
      </c>
      <c r="AW15" s="114">
        <f t="shared" si="10"/>
        <v>5600</v>
      </c>
      <c r="AX15" s="114">
        <f t="shared" si="11"/>
        <v>19500</v>
      </c>
      <c r="AY15" s="114">
        <f t="shared" si="12"/>
        <v>6500</v>
      </c>
      <c r="BA15" s="137">
        <f t="shared" si="13"/>
        <v>0.7944444444444444</v>
      </c>
    </row>
    <row r="16" spans="1:53" ht="28.8">
      <c r="A16" s="130" t="s">
        <v>47</v>
      </c>
      <c r="B16" s="154" t="s">
        <v>58</v>
      </c>
      <c r="C16" s="114" t="s">
        <v>59</v>
      </c>
      <c r="D16" s="114">
        <v>630</v>
      </c>
      <c r="E16" s="114">
        <v>180</v>
      </c>
      <c r="F16" s="114">
        <v>110</v>
      </c>
      <c r="G16" s="114" t="s">
        <v>60</v>
      </c>
      <c r="H16" s="155">
        <v>6</v>
      </c>
      <c r="I16" s="114" t="s">
        <v>66</v>
      </c>
      <c r="J16" s="114">
        <v>5</v>
      </c>
      <c r="K16" s="114">
        <v>13</v>
      </c>
      <c r="L16" s="144">
        <f t="shared" si="21"/>
        <v>7.8120732040426111</v>
      </c>
      <c r="M16" s="139">
        <f t="shared" si="4"/>
        <v>78.120732040426105</v>
      </c>
      <c r="N16" s="145">
        <v>3440</v>
      </c>
      <c r="O16" s="145">
        <v>8</v>
      </c>
      <c r="P16" s="140">
        <f t="shared" si="5"/>
        <v>11</v>
      </c>
      <c r="Q16" s="145" t="s">
        <v>51</v>
      </c>
      <c r="U16" s="142">
        <v>7</v>
      </c>
      <c r="W16" s="142">
        <v>2</v>
      </c>
      <c r="Y16" s="142">
        <v>3</v>
      </c>
      <c r="AA16" s="114">
        <f t="shared" si="14"/>
        <v>0.13948001705582491</v>
      </c>
      <c r="AC16" s="137">
        <v>4.3099999999999996</v>
      </c>
      <c r="AD16" s="137">
        <v>2.44</v>
      </c>
      <c r="AE16" s="137">
        <v>0.53</v>
      </c>
      <c r="AF16" s="137">
        <f t="shared" si="18"/>
        <v>287.97999999999996</v>
      </c>
      <c r="AG16" s="137"/>
      <c r="AH16" s="137">
        <f t="shared" si="6"/>
        <v>14.959999999999997</v>
      </c>
      <c r="AI16" s="137"/>
      <c r="AJ16" s="137">
        <f t="shared" si="7"/>
        <v>44.879999999999995</v>
      </c>
      <c r="AK16" s="137"/>
      <c r="AL16" s="137">
        <v>4.1100000000000003</v>
      </c>
      <c r="AM16" s="137">
        <v>2.77</v>
      </c>
      <c r="AN16" s="137">
        <v>8.1</v>
      </c>
      <c r="AO16" s="137">
        <v>3.39</v>
      </c>
      <c r="AP16" s="137">
        <v>0.56999999999999995</v>
      </c>
      <c r="AR16" s="137">
        <f t="shared" si="2"/>
        <v>0</v>
      </c>
      <c r="AT16" s="114">
        <f t="shared" si="8"/>
        <v>2.86</v>
      </c>
      <c r="AU16" s="114">
        <f t="shared" si="9"/>
        <v>22.88</v>
      </c>
      <c r="AW16" s="114">
        <f t="shared" si="10"/>
        <v>5600</v>
      </c>
      <c r="AX16" s="114">
        <f t="shared" si="11"/>
        <v>19500</v>
      </c>
      <c r="AY16" s="114">
        <f t="shared" si="12"/>
        <v>6500</v>
      </c>
      <c r="BA16" s="137">
        <f t="shared" si="13"/>
        <v>0.7944444444444444</v>
      </c>
    </row>
    <row r="17" spans="1:53" ht="28.8">
      <c r="A17" s="130" t="s">
        <v>47</v>
      </c>
      <c r="B17" s="154" t="s">
        <v>58</v>
      </c>
      <c r="C17" s="114" t="s">
        <v>59</v>
      </c>
      <c r="D17" s="114">
        <v>630</v>
      </c>
      <c r="E17" s="114">
        <v>180</v>
      </c>
      <c r="F17" s="114">
        <v>110</v>
      </c>
      <c r="G17" s="114" t="s">
        <v>66</v>
      </c>
      <c r="H17" s="155">
        <v>8</v>
      </c>
      <c r="I17" s="114" t="s">
        <v>66</v>
      </c>
      <c r="J17" s="114">
        <v>5</v>
      </c>
      <c r="K17" s="114">
        <v>13</v>
      </c>
      <c r="L17" s="144">
        <f t="shared" si="21"/>
        <v>7.8120732040426111</v>
      </c>
      <c r="M17" s="139">
        <f t="shared" si="4"/>
        <v>78.120732040426105</v>
      </c>
      <c r="N17" s="145">
        <v>3440</v>
      </c>
      <c r="O17" s="145">
        <v>8</v>
      </c>
      <c r="P17" s="140">
        <f t="shared" si="5"/>
        <v>11</v>
      </c>
      <c r="Q17" s="145" t="s">
        <v>61</v>
      </c>
      <c r="V17" s="138">
        <v>7</v>
      </c>
      <c r="X17" s="138">
        <v>2</v>
      </c>
      <c r="Z17" s="138">
        <v>4</v>
      </c>
      <c r="AA17" s="114">
        <f t="shared" si="14"/>
        <v>5.3491827181992392E-2</v>
      </c>
      <c r="AC17" s="137">
        <v>1.01</v>
      </c>
      <c r="AD17" s="137">
        <v>0.59</v>
      </c>
      <c r="AE17" s="137">
        <v>0.12</v>
      </c>
      <c r="AF17" s="137"/>
      <c r="AG17" s="137">
        <f t="shared" si="15"/>
        <v>64.680000000000007</v>
      </c>
      <c r="AH17" s="137"/>
      <c r="AI17" s="137">
        <f t="shared" si="16"/>
        <v>3.3600000000000003</v>
      </c>
      <c r="AJ17" s="137"/>
      <c r="AK17" s="137">
        <f t="shared" si="17"/>
        <v>13.440000000000001</v>
      </c>
      <c r="AL17" s="137">
        <v>0.98</v>
      </c>
      <c r="AM17" s="137">
        <v>0.69</v>
      </c>
      <c r="AN17" s="137">
        <v>1.68</v>
      </c>
      <c r="AO17" s="137">
        <v>0.8</v>
      </c>
      <c r="AP17" s="137">
        <v>0.13</v>
      </c>
      <c r="AR17" s="137">
        <f t="shared" si="2"/>
        <v>123.19999999999999</v>
      </c>
      <c r="AT17" s="114">
        <f t="shared" si="8"/>
        <v>2.86</v>
      </c>
      <c r="AU17" s="114">
        <f t="shared" si="9"/>
        <v>22.88</v>
      </c>
      <c r="AW17" s="114">
        <f t="shared" si="10"/>
        <v>5600</v>
      </c>
      <c r="AX17" s="114">
        <f t="shared" si="11"/>
        <v>19500</v>
      </c>
      <c r="AY17" s="114">
        <f t="shared" si="12"/>
        <v>6500</v>
      </c>
      <c r="BA17" s="137">
        <f t="shared" si="13"/>
        <v>0.7944444444444444</v>
      </c>
    </row>
    <row r="18" spans="1:53" ht="28.8">
      <c r="A18" s="130" t="s">
        <v>47</v>
      </c>
      <c r="B18" s="154" t="s">
        <v>58</v>
      </c>
      <c r="C18" s="114" t="s">
        <v>59</v>
      </c>
      <c r="D18" s="114">
        <v>630</v>
      </c>
      <c r="E18" s="114">
        <v>180</v>
      </c>
      <c r="F18" s="114">
        <v>110</v>
      </c>
      <c r="G18" s="114" t="s">
        <v>66</v>
      </c>
      <c r="H18" s="155">
        <v>8</v>
      </c>
      <c r="I18" s="114" t="s">
        <v>66</v>
      </c>
      <c r="J18" s="114">
        <v>5</v>
      </c>
      <c r="K18" s="114">
        <v>13</v>
      </c>
      <c r="L18" s="144">
        <f t="shared" ref="L18" si="22">3600/(1046*D18/(K18*110))</f>
        <v>7.8120732040426111</v>
      </c>
      <c r="M18" s="139">
        <f t="shared" si="4"/>
        <v>78.120732040426105</v>
      </c>
      <c r="N18" s="145">
        <v>3440</v>
      </c>
      <c r="O18" s="145">
        <v>8</v>
      </c>
      <c r="P18" s="140">
        <f t="shared" si="5"/>
        <v>11</v>
      </c>
      <c r="Q18" s="145" t="s">
        <v>51</v>
      </c>
      <c r="U18" s="142">
        <v>7</v>
      </c>
      <c r="W18" s="142">
        <v>2</v>
      </c>
      <c r="Y18" s="142">
        <v>4</v>
      </c>
      <c r="AA18" s="114">
        <f t="shared" si="14"/>
        <v>5.3491827181992392E-2</v>
      </c>
      <c r="AC18" s="137">
        <v>3.99</v>
      </c>
      <c r="AD18" s="137">
        <v>2.69</v>
      </c>
      <c r="AE18" s="137">
        <v>0.67</v>
      </c>
      <c r="AF18" s="137">
        <f t="shared" si="18"/>
        <v>200.20000000000005</v>
      </c>
      <c r="AG18" s="137"/>
      <c r="AH18" s="137">
        <f t="shared" si="6"/>
        <v>10.400000000000002</v>
      </c>
      <c r="AI18" s="137"/>
      <c r="AJ18" s="137">
        <f t="shared" si="7"/>
        <v>41.600000000000009</v>
      </c>
      <c r="AK18" s="137"/>
      <c r="AL18" s="137">
        <v>3.93</v>
      </c>
      <c r="AM18" s="137">
        <v>2.95</v>
      </c>
      <c r="AN18" s="137">
        <v>5.75</v>
      </c>
      <c r="AO18" s="137">
        <v>3.39</v>
      </c>
      <c r="AP18" s="137">
        <v>0.72</v>
      </c>
      <c r="AR18" s="137">
        <f t="shared" si="2"/>
        <v>0</v>
      </c>
      <c r="AT18" s="114">
        <f t="shared" si="8"/>
        <v>2.86</v>
      </c>
      <c r="AU18" s="114">
        <f t="shared" si="9"/>
        <v>22.88</v>
      </c>
      <c r="AW18" s="114">
        <f t="shared" si="10"/>
        <v>5600</v>
      </c>
      <c r="AX18" s="114">
        <f t="shared" si="11"/>
        <v>19500</v>
      </c>
      <c r="AY18" s="114">
        <f t="shared" si="12"/>
        <v>6500</v>
      </c>
      <c r="BA18" s="137">
        <f t="shared" si="13"/>
        <v>0.7944444444444444</v>
      </c>
    </row>
    <row r="19" spans="1:53" ht="28.8">
      <c r="A19" s="130" t="s">
        <v>47</v>
      </c>
      <c r="B19" s="154" t="s">
        <v>58</v>
      </c>
      <c r="C19" s="114" t="s">
        <v>59</v>
      </c>
      <c r="D19" s="114">
        <v>630</v>
      </c>
      <c r="E19" s="114">
        <v>180</v>
      </c>
      <c r="F19" s="114">
        <v>110</v>
      </c>
      <c r="G19" s="114" t="s">
        <v>66</v>
      </c>
      <c r="H19" s="155">
        <v>4</v>
      </c>
      <c r="I19" s="114" t="s">
        <v>66</v>
      </c>
      <c r="J19" s="114">
        <v>5</v>
      </c>
      <c r="K19" s="114">
        <v>13</v>
      </c>
      <c r="L19" s="144">
        <f t="shared" si="21"/>
        <v>7.8120732040426111</v>
      </c>
      <c r="M19" s="139">
        <f t="shared" si="4"/>
        <v>78.120732040426105</v>
      </c>
      <c r="N19" s="145">
        <v>3440</v>
      </c>
      <c r="O19" s="145">
        <v>8</v>
      </c>
      <c r="P19" s="140">
        <f t="shared" si="5"/>
        <v>11</v>
      </c>
      <c r="Q19" s="145" t="s">
        <v>61</v>
      </c>
      <c r="V19" s="138">
        <v>14</v>
      </c>
      <c r="X19" s="138">
        <v>3</v>
      </c>
      <c r="Z19" s="138">
        <v>7</v>
      </c>
      <c r="AA19" s="114">
        <f t="shared" si="14"/>
        <v>0.18751895674261695</v>
      </c>
      <c r="AC19" s="137">
        <v>0.56999999999999995</v>
      </c>
      <c r="AD19" s="137">
        <v>0.32</v>
      </c>
      <c r="AE19" s="137">
        <v>0.06</v>
      </c>
      <c r="AF19" s="137"/>
      <c r="AG19" s="137">
        <f t="shared" si="15"/>
        <v>76.999999999999986</v>
      </c>
      <c r="AH19" s="137"/>
      <c r="AI19" s="137">
        <f t="shared" si="16"/>
        <v>2.9999999999999991</v>
      </c>
      <c r="AJ19" s="137"/>
      <c r="AK19" s="137">
        <f t="shared" si="17"/>
        <v>13.999999999999996</v>
      </c>
      <c r="AL19" s="137">
        <v>0.55000000000000004</v>
      </c>
      <c r="AM19" s="137">
        <v>0.38</v>
      </c>
      <c r="AN19" s="137">
        <v>0.99</v>
      </c>
      <c r="AO19" s="137">
        <v>0.45</v>
      </c>
      <c r="AP19" s="137">
        <v>7.0000000000000007E-2</v>
      </c>
      <c r="AR19" s="137">
        <f t="shared" si="2"/>
        <v>151.20000000000002</v>
      </c>
      <c r="AT19" s="114">
        <f t="shared" si="8"/>
        <v>2.86</v>
      </c>
      <c r="AU19" s="114">
        <f t="shared" si="9"/>
        <v>22.88</v>
      </c>
      <c r="AW19" s="114">
        <f t="shared" si="10"/>
        <v>5600</v>
      </c>
      <c r="AX19" s="114">
        <f t="shared" si="11"/>
        <v>19500</v>
      </c>
      <c r="AY19" s="114">
        <f t="shared" si="12"/>
        <v>6500</v>
      </c>
      <c r="BA19" s="137">
        <f t="shared" si="13"/>
        <v>0.7944444444444444</v>
      </c>
    </row>
    <row r="20" spans="1:53" ht="29.4" thickBot="1">
      <c r="A20" s="130" t="s">
        <v>47</v>
      </c>
      <c r="B20" s="154" t="s">
        <v>58</v>
      </c>
      <c r="C20" s="114" t="s">
        <v>59</v>
      </c>
      <c r="D20" s="114">
        <v>630</v>
      </c>
      <c r="E20" s="114">
        <v>180</v>
      </c>
      <c r="F20" s="114">
        <v>110</v>
      </c>
      <c r="G20" s="114" t="s">
        <v>66</v>
      </c>
      <c r="H20" s="155">
        <v>4</v>
      </c>
      <c r="I20" s="114" t="s">
        <v>66</v>
      </c>
      <c r="J20" s="114">
        <v>5</v>
      </c>
      <c r="K20" s="114">
        <v>13</v>
      </c>
      <c r="L20" s="144">
        <f t="shared" si="21"/>
        <v>7.8120732040426111</v>
      </c>
      <c r="M20" s="139">
        <f t="shared" si="4"/>
        <v>78.120732040426105</v>
      </c>
      <c r="N20" s="145">
        <v>3440</v>
      </c>
      <c r="O20" s="145">
        <v>8</v>
      </c>
      <c r="P20" s="140">
        <f>ROUND(D20*L20/430, 0)</f>
        <v>11</v>
      </c>
      <c r="Q20" s="145" t="s">
        <v>51</v>
      </c>
      <c r="U20" s="153">
        <v>14</v>
      </c>
      <c r="V20" s="152"/>
      <c r="W20" s="153">
        <v>3</v>
      </c>
      <c r="X20" s="152"/>
      <c r="Y20" s="153">
        <v>7</v>
      </c>
      <c r="Z20" s="152"/>
      <c r="AA20" s="114">
        <f t="shared" si="14"/>
        <v>0.18751895674261695</v>
      </c>
      <c r="AC20" s="137">
        <v>2.62</v>
      </c>
      <c r="AD20" s="137">
        <v>1.6</v>
      </c>
      <c r="AE20" s="137">
        <v>0.36</v>
      </c>
      <c r="AF20" s="137">
        <f t="shared" si="18"/>
        <v>314.16000000000003</v>
      </c>
      <c r="AG20" s="137"/>
      <c r="AH20" s="137">
        <f t="shared" si="6"/>
        <v>12.24</v>
      </c>
      <c r="AI20" s="137"/>
      <c r="AJ20" s="137">
        <f t="shared" si="7"/>
        <v>57.120000000000005</v>
      </c>
      <c r="AK20" s="137"/>
      <c r="AL20" s="137">
        <v>2.74</v>
      </c>
      <c r="AM20" s="137">
        <v>1.84</v>
      </c>
      <c r="AN20" s="137">
        <v>3.96</v>
      </c>
      <c r="AO20" s="137">
        <v>2.1</v>
      </c>
      <c r="AP20" s="137">
        <v>0.38</v>
      </c>
      <c r="AR20" s="137">
        <f t="shared" si="2"/>
        <v>0</v>
      </c>
      <c r="AT20" s="114">
        <f t="shared" si="8"/>
        <v>2.86</v>
      </c>
      <c r="AU20" s="114">
        <f t="shared" si="9"/>
        <v>22.88</v>
      </c>
      <c r="AW20" s="114">
        <f t="shared" si="10"/>
        <v>5600</v>
      </c>
      <c r="AX20" s="114">
        <f t="shared" si="11"/>
        <v>19500</v>
      </c>
      <c r="AY20" s="114">
        <f t="shared" si="12"/>
        <v>6500</v>
      </c>
      <c r="BA20" s="137">
        <f t="shared" si="13"/>
        <v>0.7944444444444444</v>
      </c>
    </row>
    <row r="21" spans="1:53" ht="28.8">
      <c r="A21" s="130" t="s">
        <v>47</v>
      </c>
      <c r="B21" s="154" t="s">
        <v>58</v>
      </c>
      <c r="C21" s="114" t="s">
        <v>59</v>
      </c>
      <c r="D21" s="114">
        <v>70</v>
      </c>
      <c r="E21" s="114">
        <v>20</v>
      </c>
      <c r="F21" s="114">
        <v>20</v>
      </c>
      <c r="G21" s="114" t="s">
        <v>67</v>
      </c>
      <c r="H21" s="155">
        <v>1</v>
      </c>
      <c r="I21" s="114" t="s">
        <v>68</v>
      </c>
      <c r="J21" s="114">
        <v>5</v>
      </c>
      <c r="K21" s="114">
        <v>1</v>
      </c>
      <c r="L21" s="144">
        <f t="shared" si="21"/>
        <v>5.4083583720295003</v>
      </c>
      <c r="M21" s="139">
        <f t="shared" si="4"/>
        <v>54.083583720295003</v>
      </c>
      <c r="N21" s="145">
        <v>430</v>
      </c>
      <c r="O21" s="145">
        <v>1</v>
      </c>
      <c r="P21" s="140">
        <f t="shared" si="5"/>
        <v>1</v>
      </c>
      <c r="Q21" s="145" t="s">
        <v>61</v>
      </c>
      <c r="R21" s="114" t="s">
        <v>69</v>
      </c>
      <c r="T21" s="114" t="s">
        <v>70</v>
      </c>
      <c r="V21" s="138">
        <v>64</v>
      </c>
      <c r="X21" s="138">
        <v>16</v>
      </c>
      <c r="Z21" s="138">
        <v>32</v>
      </c>
      <c r="AA21" s="114">
        <f t="shared" si="14"/>
        <v>0.37291658750558737</v>
      </c>
      <c r="AC21" s="114">
        <v>0.08</v>
      </c>
      <c r="AD21" s="114">
        <v>0.06</v>
      </c>
      <c r="AE21" s="114">
        <v>0.02</v>
      </c>
      <c r="AF21" s="137"/>
      <c r="AG21" s="137">
        <f t="shared" si="15"/>
        <v>28.160000000000004</v>
      </c>
      <c r="AH21" s="137"/>
      <c r="AI21" s="137">
        <f t="shared" si="16"/>
        <v>1.2800000000000002</v>
      </c>
      <c r="AJ21" s="137"/>
      <c r="AK21" s="137">
        <f t="shared" si="17"/>
        <v>5.120000000000001</v>
      </c>
      <c r="AL21" s="114">
        <v>0.08</v>
      </c>
      <c r="AM21" s="114">
        <v>0.06</v>
      </c>
      <c r="AN21" s="114">
        <v>0.12</v>
      </c>
      <c r="AO21" s="114">
        <v>0.08</v>
      </c>
      <c r="AP21" s="114">
        <v>0.02</v>
      </c>
      <c r="AR21" s="137">
        <f t="shared" si="2"/>
        <v>51.199999999999989</v>
      </c>
      <c r="AT21" s="114">
        <f t="shared" si="8"/>
        <v>1.98</v>
      </c>
      <c r="AU21" s="114">
        <f t="shared" si="9"/>
        <v>15.84</v>
      </c>
      <c r="AW21" s="114">
        <f t="shared" si="10"/>
        <v>700</v>
      </c>
      <c r="AX21" s="114">
        <f t="shared" si="11"/>
        <v>1500</v>
      </c>
      <c r="AY21" s="114">
        <f t="shared" si="12"/>
        <v>500</v>
      </c>
      <c r="BA21" s="137">
        <f t="shared" si="13"/>
        <v>0.55000000000000004</v>
      </c>
    </row>
    <row r="22" spans="1:53" ht="29.4" thickBot="1">
      <c r="A22" s="130" t="s">
        <v>47</v>
      </c>
      <c r="B22" s="154" t="s">
        <v>58</v>
      </c>
      <c r="C22" s="114" t="s">
        <v>59</v>
      </c>
      <c r="D22" s="114">
        <v>70</v>
      </c>
      <c r="E22" s="114">
        <v>20</v>
      </c>
      <c r="F22" s="114">
        <v>20</v>
      </c>
      <c r="G22" s="114" t="s">
        <v>67</v>
      </c>
      <c r="H22" s="155">
        <v>1</v>
      </c>
      <c r="I22" s="114" t="s">
        <v>68</v>
      </c>
      <c r="J22" s="114">
        <v>5</v>
      </c>
      <c r="K22" s="114">
        <v>1</v>
      </c>
      <c r="L22" s="144">
        <f t="shared" si="21"/>
        <v>5.4083583720295003</v>
      </c>
      <c r="M22" s="139">
        <f t="shared" si="4"/>
        <v>54.083583720295003</v>
      </c>
      <c r="N22" s="145">
        <v>430</v>
      </c>
      <c r="O22" s="145">
        <v>1</v>
      </c>
      <c r="P22" s="140">
        <f t="shared" si="5"/>
        <v>1</v>
      </c>
      <c r="Q22" s="145" t="s">
        <v>51</v>
      </c>
      <c r="R22" s="114" t="s">
        <v>69</v>
      </c>
      <c r="T22" s="114" t="s">
        <v>71</v>
      </c>
      <c r="U22" s="153">
        <v>64</v>
      </c>
      <c r="V22" s="152"/>
      <c r="W22" s="153">
        <v>16</v>
      </c>
      <c r="X22" s="152"/>
      <c r="Y22" s="153">
        <v>32</v>
      </c>
      <c r="Z22" s="152"/>
      <c r="AA22" s="114">
        <f t="shared" si="14"/>
        <v>0.37291658750558737</v>
      </c>
      <c r="AC22" s="114">
        <v>0.39</v>
      </c>
      <c r="AD22" s="114">
        <v>0.31</v>
      </c>
      <c r="AE22" s="137">
        <v>0.1</v>
      </c>
      <c r="AF22" s="137">
        <f t="shared" si="18"/>
        <v>112.64000000000001</v>
      </c>
      <c r="AG22" s="137"/>
      <c r="AH22" s="137">
        <f t="shared" si="6"/>
        <v>5.120000000000001</v>
      </c>
      <c r="AI22" s="137"/>
      <c r="AJ22" s="137">
        <f t="shared" si="7"/>
        <v>20.480000000000004</v>
      </c>
      <c r="AK22" s="137"/>
      <c r="AL22" s="114">
        <v>0.37</v>
      </c>
      <c r="AM22" s="137">
        <v>0.3</v>
      </c>
      <c r="AN22" s="114">
        <v>0.52</v>
      </c>
      <c r="AO22" s="114">
        <v>0.38</v>
      </c>
      <c r="AP22" s="137">
        <v>0.1</v>
      </c>
      <c r="AR22" s="137">
        <f t="shared" si="2"/>
        <v>0</v>
      </c>
      <c r="AT22" s="114">
        <f t="shared" si="8"/>
        <v>1.98</v>
      </c>
      <c r="AU22" s="114">
        <f t="shared" si="9"/>
        <v>15.84</v>
      </c>
      <c r="AW22" s="114">
        <f t="shared" si="10"/>
        <v>700</v>
      </c>
      <c r="AX22" s="114">
        <f t="shared" si="11"/>
        <v>1500</v>
      </c>
      <c r="AY22" s="114">
        <f t="shared" si="12"/>
        <v>500</v>
      </c>
      <c r="BA22" s="137">
        <f t="shared" si="13"/>
        <v>0.55000000000000004</v>
      </c>
    </row>
    <row r="23" spans="1:53" ht="28.8">
      <c r="A23" s="130" t="s">
        <v>47</v>
      </c>
      <c r="B23" s="158" t="s">
        <v>72</v>
      </c>
      <c r="C23" s="114" t="s">
        <v>73</v>
      </c>
      <c r="D23" s="114">
        <v>300</v>
      </c>
      <c r="E23" s="114">
        <v>100</v>
      </c>
      <c r="F23" s="114">
        <v>64</v>
      </c>
      <c r="G23" s="114" t="s">
        <v>74</v>
      </c>
      <c r="H23" s="114">
        <v>1</v>
      </c>
      <c r="I23" s="114" t="s">
        <v>74</v>
      </c>
      <c r="J23" s="114">
        <v>5</v>
      </c>
      <c r="K23" s="114">
        <v>7</v>
      </c>
      <c r="L23" s="144">
        <f t="shared" si="20"/>
        <v>8.8336520076481833</v>
      </c>
      <c r="M23" s="139">
        <f t="shared" si="4"/>
        <v>88.336520076481833</v>
      </c>
      <c r="N23" s="145">
        <v>1720</v>
      </c>
      <c r="O23" s="145">
        <v>4</v>
      </c>
      <c r="P23" s="140">
        <f t="shared" si="5"/>
        <v>6</v>
      </c>
      <c r="Q23" s="145" t="s">
        <v>75</v>
      </c>
      <c r="R23" s="114">
        <f t="shared" ref="R23:R25" si="23">29*F23/D23</f>
        <v>6.1866666666666665</v>
      </c>
      <c r="T23" s="114" t="s">
        <v>76</v>
      </c>
      <c r="V23" s="138">
        <v>8</v>
      </c>
      <c r="X23" s="138">
        <v>1</v>
      </c>
      <c r="Z23" s="138">
        <v>3</v>
      </c>
      <c r="AA23" s="114">
        <f t="shared" si="14"/>
        <v>0.17367577197021997</v>
      </c>
      <c r="AC23" s="137">
        <v>0.6</v>
      </c>
      <c r="AD23" s="114">
        <v>0.28000000000000003</v>
      </c>
      <c r="AE23" s="114">
        <v>0.05</v>
      </c>
      <c r="AF23" s="137"/>
      <c r="AG23" s="137">
        <f t="shared" si="15"/>
        <v>56.319999999999993</v>
      </c>
      <c r="AH23" s="137"/>
      <c r="AI23" s="137">
        <f t="shared" si="16"/>
        <v>1.2799999999999998</v>
      </c>
      <c r="AJ23" s="137"/>
      <c r="AK23" s="137">
        <f t="shared" si="17"/>
        <v>7.6799999999999988</v>
      </c>
      <c r="AL23" s="114">
        <v>0.54</v>
      </c>
      <c r="AM23" s="114">
        <v>0.34</v>
      </c>
      <c r="AN23" s="114">
        <v>1.68</v>
      </c>
      <c r="AO23" s="137">
        <v>0.4</v>
      </c>
      <c r="AP23" s="137">
        <v>0.05</v>
      </c>
      <c r="AR23" s="137">
        <f t="shared" si="2"/>
        <v>204.79999999999995</v>
      </c>
      <c r="AT23" s="137">
        <f t="shared" si="8"/>
        <v>2.7719999999999998</v>
      </c>
      <c r="AU23" s="137">
        <f t="shared" si="9"/>
        <v>22.175999999999998</v>
      </c>
      <c r="AW23" s="114">
        <f t="shared" si="10"/>
        <v>2800</v>
      </c>
      <c r="AX23" s="114">
        <f t="shared" si="11"/>
        <v>10500</v>
      </c>
      <c r="AY23" s="114">
        <f t="shared" si="12"/>
        <v>3500</v>
      </c>
      <c r="BA23" s="137">
        <f t="shared" si="13"/>
        <v>0.76999999999999991</v>
      </c>
    </row>
    <row r="24" spans="1:53" ht="28.8">
      <c r="A24" s="130" t="s">
        <v>47</v>
      </c>
      <c r="B24" s="158" t="s">
        <v>72</v>
      </c>
      <c r="C24" s="114" t="s">
        <v>73</v>
      </c>
      <c r="D24" s="114">
        <v>300</v>
      </c>
      <c r="E24" s="114">
        <v>100</v>
      </c>
      <c r="F24" s="114">
        <v>64</v>
      </c>
      <c r="G24" s="114" t="s">
        <v>74</v>
      </c>
      <c r="H24" s="114">
        <v>1</v>
      </c>
      <c r="I24" s="114" t="s">
        <v>74</v>
      </c>
      <c r="J24" s="114">
        <v>5</v>
      </c>
      <c r="K24" s="114">
        <v>7</v>
      </c>
      <c r="L24" s="144">
        <f>3600/(1046*D24/(K24*110))</f>
        <v>8.8336520076481833</v>
      </c>
      <c r="M24" s="139">
        <f t="shared" si="4"/>
        <v>88.336520076481833</v>
      </c>
      <c r="N24" s="145">
        <v>1720</v>
      </c>
      <c r="O24" s="145">
        <v>4</v>
      </c>
      <c r="P24" s="140">
        <f t="shared" si="5"/>
        <v>6</v>
      </c>
      <c r="Q24" s="140" t="s">
        <v>61</v>
      </c>
      <c r="R24" s="114">
        <f t="shared" si="23"/>
        <v>6.1866666666666665</v>
      </c>
      <c r="T24" s="114" t="s">
        <v>77</v>
      </c>
      <c r="U24" s="142">
        <v>8</v>
      </c>
      <c r="W24" s="142">
        <v>1</v>
      </c>
      <c r="Y24" s="142">
        <v>3</v>
      </c>
      <c r="AA24" s="114">
        <f t="shared" si="14"/>
        <v>0.17367577197021997</v>
      </c>
      <c r="AC24" s="114">
        <v>0.84</v>
      </c>
      <c r="AD24" s="114">
        <v>0.41</v>
      </c>
      <c r="AE24" s="114">
        <v>7.0000000000000007E-2</v>
      </c>
      <c r="AF24" s="137">
        <f t="shared" si="18"/>
        <v>75.679999999999993</v>
      </c>
      <c r="AG24" s="137"/>
      <c r="AH24" s="137">
        <f t="shared" si="6"/>
        <v>1.72</v>
      </c>
      <c r="AI24" s="137"/>
      <c r="AJ24" s="137">
        <f t="shared" si="7"/>
        <v>10.32</v>
      </c>
      <c r="AK24" s="137"/>
      <c r="AL24" s="114">
        <v>0.77</v>
      </c>
      <c r="AM24" s="114">
        <v>0.49</v>
      </c>
      <c r="AN24" s="114">
        <v>2.2200000000000002</v>
      </c>
      <c r="AO24" s="114">
        <v>0.56000000000000005</v>
      </c>
      <c r="AP24" s="114">
        <v>7.0000000000000007E-2</v>
      </c>
      <c r="AR24" s="137">
        <f t="shared" si="2"/>
        <v>0</v>
      </c>
      <c r="AT24" s="137">
        <f t="shared" si="8"/>
        <v>2.7719999999999998</v>
      </c>
      <c r="AU24" s="137">
        <f t="shared" si="9"/>
        <v>22.175999999999998</v>
      </c>
      <c r="AW24" s="114">
        <f>700*O24</f>
        <v>2800</v>
      </c>
      <c r="AX24" s="114">
        <f>1500*K24</f>
        <v>10500</v>
      </c>
      <c r="AY24" s="114">
        <f t="shared" si="12"/>
        <v>3500</v>
      </c>
      <c r="BA24" s="137">
        <f t="shared" si="13"/>
        <v>0.76999999999999991</v>
      </c>
    </row>
    <row r="25" spans="1:53" ht="28.8">
      <c r="A25" s="130" t="s">
        <v>47</v>
      </c>
      <c r="B25" s="158" t="s">
        <v>72</v>
      </c>
      <c r="C25" s="114" t="s">
        <v>73</v>
      </c>
      <c r="D25" s="114">
        <v>300</v>
      </c>
      <c r="E25" s="114">
        <v>100</v>
      </c>
      <c r="F25" s="114">
        <v>64</v>
      </c>
      <c r="G25" s="114" t="s">
        <v>74</v>
      </c>
      <c r="H25" s="114">
        <v>4</v>
      </c>
      <c r="I25" s="114" t="s">
        <v>74</v>
      </c>
      <c r="J25" s="114">
        <v>5</v>
      </c>
      <c r="K25" s="114">
        <v>7</v>
      </c>
      <c r="L25" s="144">
        <f t="shared" si="20"/>
        <v>8.8336520076481833</v>
      </c>
      <c r="M25" s="139">
        <f t="shared" si="4"/>
        <v>88.336520076481833</v>
      </c>
      <c r="N25" s="145">
        <v>1720</v>
      </c>
      <c r="O25" s="145">
        <v>4</v>
      </c>
      <c r="P25" s="140">
        <f t="shared" si="5"/>
        <v>6</v>
      </c>
      <c r="Q25" s="145" t="s">
        <v>75</v>
      </c>
      <c r="R25" s="114">
        <f t="shared" si="23"/>
        <v>6.1866666666666665</v>
      </c>
      <c r="V25" s="138">
        <v>3</v>
      </c>
      <c r="X25" s="138">
        <v>1</v>
      </c>
      <c r="Z25" s="138">
        <v>2</v>
      </c>
      <c r="AA25" s="114">
        <f t="shared" si="14"/>
        <v>0.15478519771311128</v>
      </c>
      <c r="AC25" s="114">
        <v>1.72</v>
      </c>
      <c r="AD25" s="114">
        <v>0.91</v>
      </c>
      <c r="AE25" s="114">
        <v>0.18</v>
      </c>
      <c r="AF25" s="137"/>
      <c r="AG25" s="137">
        <f t="shared" si="15"/>
        <v>53.459999999999994</v>
      </c>
      <c r="AH25" s="137"/>
      <c r="AI25" s="137">
        <f t="shared" si="16"/>
        <v>3.2399999999999998</v>
      </c>
      <c r="AJ25" s="137"/>
      <c r="AK25" s="137">
        <f t="shared" si="17"/>
        <v>12.959999999999999</v>
      </c>
      <c r="AL25" s="137">
        <v>1.63</v>
      </c>
      <c r="AM25" s="114">
        <v>1.0900000000000001</v>
      </c>
      <c r="AN25" s="114">
        <v>3.91</v>
      </c>
      <c r="AO25" s="114">
        <v>1.24</v>
      </c>
      <c r="AP25" s="114">
        <v>0.18</v>
      </c>
      <c r="AR25" s="137">
        <f t="shared" si="2"/>
        <v>160.19999999999999</v>
      </c>
      <c r="AT25" s="137">
        <f t="shared" si="8"/>
        <v>2.7719999999999998</v>
      </c>
      <c r="AU25" s="137">
        <f t="shared" si="9"/>
        <v>22.175999999999998</v>
      </c>
      <c r="AW25" s="114">
        <f t="shared" si="10"/>
        <v>2800</v>
      </c>
      <c r="AX25" s="114">
        <f t="shared" si="11"/>
        <v>10500</v>
      </c>
      <c r="AY25" s="114">
        <f t="shared" si="12"/>
        <v>3500</v>
      </c>
      <c r="BA25" s="137">
        <f t="shared" si="13"/>
        <v>0.76999999999999991</v>
      </c>
    </row>
    <row r="26" spans="1:53" ht="28.8">
      <c r="A26" s="130" t="s">
        <v>47</v>
      </c>
      <c r="B26" s="158" t="s">
        <v>72</v>
      </c>
      <c r="C26" s="114" t="s">
        <v>73</v>
      </c>
      <c r="D26" s="114">
        <v>300</v>
      </c>
      <c r="E26" s="114">
        <v>100</v>
      </c>
      <c r="F26" s="114">
        <v>64</v>
      </c>
      <c r="G26" s="114" t="s">
        <v>74</v>
      </c>
      <c r="H26" s="114">
        <v>4</v>
      </c>
      <c r="I26" s="114" t="s">
        <v>74</v>
      </c>
      <c r="J26" s="114">
        <v>5</v>
      </c>
      <c r="K26" s="114">
        <v>7</v>
      </c>
      <c r="L26" s="144">
        <f>3600/(1046*D26/(K26*110))</f>
        <v>8.8336520076481833</v>
      </c>
      <c r="M26" s="139">
        <f t="shared" si="4"/>
        <v>88.336520076481833</v>
      </c>
      <c r="N26" s="145">
        <v>1720</v>
      </c>
      <c r="O26" s="145">
        <v>4</v>
      </c>
      <c r="P26" s="140">
        <f t="shared" si="5"/>
        <v>6</v>
      </c>
      <c r="Q26" s="140" t="s">
        <v>61</v>
      </c>
      <c r="R26" s="114">
        <f>29*F26/D26</f>
        <v>6.1866666666666665</v>
      </c>
      <c r="U26" s="142">
        <v>3</v>
      </c>
      <c r="W26" s="142">
        <v>1</v>
      </c>
      <c r="Y26" s="142">
        <v>2</v>
      </c>
      <c r="AA26" s="114">
        <f t="shared" si="14"/>
        <v>0.15478519771311128</v>
      </c>
      <c r="AC26" s="114">
        <v>2.2400000000000002</v>
      </c>
      <c r="AD26" s="114">
        <v>1.23</v>
      </c>
      <c r="AE26" s="114">
        <v>0.26</v>
      </c>
      <c r="AF26" s="137">
        <f t="shared" si="18"/>
        <v>66.660000000000011</v>
      </c>
      <c r="AG26" s="137"/>
      <c r="AH26" s="137">
        <f t="shared" si="6"/>
        <v>4.0400000000000009</v>
      </c>
      <c r="AI26" s="137"/>
      <c r="AJ26" s="137">
        <f t="shared" si="7"/>
        <v>16.160000000000004</v>
      </c>
      <c r="AK26" s="137"/>
      <c r="AL26" s="137">
        <v>2.08</v>
      </c>
      <c r="AM26" s="114">
        <v>1.44</v>
      </c>
      <c r="AN26" s="137">
        <v>4.67</v>
      </c>
      <c r="AO26" s="114">
        <v>1.62</v>
      </c>
      <c r="AP26" s="114">
        <v>0.28000000000000003</v>
      </c>
      <c r="AR26" s="137">
        <f t="shared" si="2"/>
        <v>0</v>
      </c>
      <c r="AT26" s="137">
        <f t="shared" si="8"/>
        <v>2.7719999999999998</v>
      </c>
      <c r="AU26" s="137">
        <f t="shared" si="9"/>
        <v>22.175999999999998</v>
      </c>
      <c r="AW26" s="114">
        <f t="shared" si="10"/>
        <v>2800</v>
      </c>
      <c r="AX26" s="114">
        <f t="shared" si="11"/>
        <v>10500</v>
      </c>
      <c r="AY26" s="114">
        <f t="shared" si="12"/>
        <v>3500</v>
      </c>
      <c r="BA26" s="137">
        <f t="shared" si="13"/>
        <v>0.76999999999999991</v>
      </c>
    </row>
    <row r="27" spans="1:53" ht="27.6" customHeight="1">
      <c r="A27" s="130" t="s">
        <v>47</v>
      </c>
      <c r="B27" s="158" t="s">
        <v>72</v>
      </c>
      <c r="C27" s="114" t="s">
        <v>73</v>
      </c>
      <c r="D27" s="114">
        <v>300</v>
      </c>
      <c r="E27" s="114">
        <v>100</v>
      </c>
      <c r="F27" s="114">
        <v>64</v>
      </c>
      <c r="G27" s="114" t="s">
        <v>60</v>
      </c>
      <c r="H27" s="114">
        <v>1</v>
      </c>
      <c r="I27" s="114" t="s">
        <v>60</v>
      </c>
      <c r="J27" s="114">
        <v>5</v>
      </c>
      <c r="K27" s="114">
        <v>7</v>
      </c>
      <c r="L27" s="144">
        <f t="shared" si="20"/>
        <v>8.8336520076481833</v>
      </c>
      <c r="M27" s="139">
        <f t="shared" si="4"/>
        <v>88.336520076481833</v>
      </c>
      <c r="N27" s="145">
        <v>1720</v>
      </c>
      <c r="O27" s="145">
        <v>4</v>
      </c>
      <c r="P27" s="140">
        <f t="shared" si="5"/>
        <v>6</v>
      </c>
      <c r="Q27" s="145" t="s">
        <v>75</v>
      </c>
      <c r="R27" s="114" t="s">
        <v>78</v>
      </c>
      <c r="V27" s="138">
        <v>10</v>
      </c>
      <c r="X27" s="138">
        <v>1</v>
      </c>
      <c r="Z27" s="138">
        <v>4</v>
      </c>
      <c r="AA27" s="114">
        <f t="shared" si="14"/>
        <v>0.17367577197021997</v>
      </c>
      <c r="AC27" s="137">
        <v>0.28999999999999998</v>
      </c>
      <c r="AD27" s="114">
        <v>0.14000000000000001</v>
      </c>
      <c r="AE27" s="114">
        <v>0.02</v>
      </c>
      <c r="AF27" s="137"/>
      <c r="AG27" s="137">
        <f t="shared" si="15"/>
        <v>32.999999999999993</v>
      </c>
      <c r="AH27" s="137"/>
      <c r="AI27" s="137">
        <f t="shared" si="16"/>
        <v>0.59999999999999987</v>
      </c>
      <c r="AJ27" s="137"/>
      <c r="AK27" s="137">
        <f t="shared" si="17"/>
        <v>4.7999999999999989</v>
      </c>
      <c r="AL27" s="114">
        <v>0.27</v>
      </c>
      <c r="AM27" s="114">
        <v>0.18</v>
      </c>
      <c r="AN27" s="137">
        <v>0.7</v>
      </c>
      <c r="AO27" s="137">
        <v>0.2</v>
      </c>
      <c r="AP27" s="137">
        <v>0.03</v>
      </c>
      <c r="AR27" s="137">
        <f t="shared" si="2"/>
        <v>99.999999999999986</v>
      </c>
      <c r="AT27" s="137">
        <f t="shared" si="8"/>
        <v>2.7719999999999998</v>
      </c>
      <c r="AU27" s="137">
        <f t="shared" si="9"/>
        <v>22.175999999999998</v>
      </c>
      <c r="AW27" s="114">
        <f t="shared" si="10"/>
        <v>2800</v>
      </c>
      <c r="AX27" s="114">
        <f t="shared" si="11"/>
        <v>10500</v>
      </c>
      <c r="AY27" s="114">
        <f t="shared" si="12"/>
        <v>3500</v>
      </c>
      <c r="BA27" s="137">
        <f t="shared" si="13"/>
        <v>0.76999999999999991</v>
      </c>
    </row>
    <row r="28" spans="1:53" s="15" customFormat="1" ht="27.6" customHeight="1" thickBot="1">
      <c r="A28" s="131" t="s">
        <v>47</v>
      </c>
      <c r="B28" s="159" t="s">
        <v>72</v>
      </c>
      <c r="C28" s="152" t="s">
        <v>73</v>
      </c>
      <c r="D28" s="152">
        <v>300</v>
      </c>
      <c r="E28" s="152">
        <v>100</v>
      </c>
      <c r="F28" s="152">
        <v>64</v>
      </c>
      <c r="G28" s="152" t="s">
        <v>60</v>
      </c>
      <c r="H28" s="152">
        <v>1</v>
      </c>
      <c r="I28" s="152" t="s">
        <v>60</v>
      </c>
      <c r="J28" s="152">
        <v>5</v>
      </c>
      <c r="K28" s="152">
        <v>7</v>
      </c>
      <c r="L28" s="160">
        <f>3600/(1046*D28/(K28*110))</f>
        <v>8.8336520076481833</v>
      </c>
      <c r="M28" s="161">
        <f t="shared" si="4"/>
        <v>88.336520076481833</v>
      </c>
      <c r="N28" s="162">
        <v>1720</v>
      </c>
      <c r="O28" s="162">
        <v>4</v>
      </c>
      <c r="P28" s="163">
        <f t="shared" si="5"/>
        <v>6</v>
      </c>
      <c r="Q28" s="163" t="s">
        <v>61</v>
      </c>
      <c r="R28" s="152" t="s">
        <v>78</v>
      </c>
      <c r="S28" s="152"/>
      <c r="T28" s="152"/>
      <c r="U28" s="153">
        <v>10</v>
      </c>
      <c r="V28" s="152"/>
      <c r="W28" s="153">
        <v>2</v>
      </c>
      <c r="X28" s="152"/>
      <c r="Y28" s="153">
        <v>4</v>
      </c>
      <c r="Z28" s="152"/>
      <c r="AA28" s="152">
        <f t="shared" si="14"/>
        <v>0.17367577197021997</v>
      </c>
      <c r="AB28" s="152"/>
      <c r="AC28" s="152">
        <v>0.41</v>
      </c>
      <c r="AD28" s="152">
        <v>0.21</v>
      </c>
      <c r="AE28" s="152">
        <v>0.04</v>
      </c>
      <c r="AF28" s="164">
        <f t="shared" si="18"/>
        <v>43.999999999999993</v>
      </c>
      <c r="AG28" s="164"/>
      <c r="AH28" s="164">
        <f t="shared" si="6"/>
        <v>1.5999999999999999</v>
      </c>
      <c r="AI28" s="164"/>
      <c r="AJ28" s="164">
        <f t="shared" si="7"/>
        <v>6.3999999999999995</v>
      </c>
      <c r="AK28" s="164"/>
      <c r="AL28" s="152">
        <v>0.39</v>
      </c>
      <c r="AM28" s="164">
        <v>0.25</v>
      </c>
      <c r="AN28" s="152">
        <v>0.97</v>
      </c>
      <c r="AO28" s="152">
        <v>0.28999999999999998</v>
      </c>
      <c r="AP28" s="152">
        <v>0.04</v>
      </c>
      <c r="AQ28" s="152"/>
      <c r="AR28" s="164">
        <f t="shared" si="2"/>
        <v>0</v>
      </c>
      <c r="AS28" s="152"/>
      <c r="AT28" s="164">
        <f t="shared" si="8"/>
        <v>2.7719999999999998</v>
      </c>
      <c r="AU28" s="164">
        <f t="shared" si="9"/>
        <v>22.175999999999998</v>
      </c>
      <c r="AV28" s="152"/>
      <c r="AW28" s="152">
        <f t="shared" si="10"/>
        <v>2800</v>
      </c>
      <c r="AX28" s="152">
        <f t="shared" si="11"/>
        <v>10500</v>
      </c>
      <c r="AY28" s="152">
        <f>500*K28</f>
        <v>3500</v>
      </c>
      <c r="AZ28" s="152"/>
      <c r="BA28" s="137">
        <f t="shared" si="13"/>
        <v>0.76999999999999991</v>
      </c>
    </row>
    <row r="29" spans="1:53" ht="43.2">
      <c r="A29" s="130" t="s">
        <v>79</v>
      </c>
      <c r="B29" s="165" t="s">
        <v>80</v>
      </c>
      <c r="C29" s="114" t="s">
        <v>73</v>
      </c>
      <c r="D29" s="114">
        <v>48</v>
      </c>
      <c r="E29" s="114">
        <v>20</v>
      </c>
      <c r="F29" s="166" t="s">
        <v>81</v>
      </c>
      <c r="G29" s="114" t="s">
        <v>66</v>
      </c>
      <c r="H29" s="114">
        <v>1</v>
      </c>
      <c r="I29" s="114" t="s">
        <v>66</v>
      </c>
      <c r="J29" s="114">
        <v>5</v>
      </c>
      <c r="K29" s="114">
        <v>1</v>
      </c>
      <c r="L29" s="144">
        <f t="shared" si="20"/>
        <v>7.8871892925430211</v>
      </c>
      <c r="M29" s="139">
        <f t="shared" si="4"/>
        <v>78.871892925430217</v>
      </c>
      <c r="N29" s="145">
        <v>430</v>
      </c>
      <c r="O29" s="145">
        <v>1</v>
      </c>
      <c r="P29" s="140">
        <f>ROUND(D29*L29/430, 0)</f>
        <v>1</v>
      </c>
      <c r="Q29" s="145" t="s">
        <v>75</v>
      </c>
      <c r="R29" s="114">
        <f>29*F29/D29</f>
        <v>3.0208333333333335</v>
      </c>
      <c r="T29" s="114" t="s">
        <v>82</v>
      </c>
      <c r="U29" s="142">
        <v>3</v>
      </c>
      <c r="W29" s="142">
        <v>1</v>
      </c>
      <c r="Y29" s="142">
        <v>2</v>
      </c>
      <c r="AA29" s="114">
        <f t="shared" si="14"/>
        <v>0.17984578746950677</v>
      </c>
      <c r="AC29" s="114">
        <v>0.04</v>
      </c>
      <c r="AD29" s="114">
        <v>0.03</v>
      </c>
      <c r="AE29" s="114">
        <v>0.01</v>
      </c>
      <c r="AF29" s="137">
        <f t="shared" si="18"/>
        <v>0.66000000000000014</v>
      </c>
      <c r="AG29" s="137"/>
      <c r="AH29" s="137">
        <f t="shared" ref="AH29:AH52" si="24">(AC29-AD29)*W29*4</f>
        <v>4.0000000000000008E-2</v>
      </c>
      <c r="AI29" s="137"/>
      <c r="AJ29" s="137">
        <f t="shared" si="7"/>
        <v>0.16000000000000003</v>
      </c>
      <c r="AK29" s="137"/>
      <c r="AL29" s="114">
        <v>0.03</v>
      </c>
      <c r="AM29" s="114">
        <v>0.02</v>
      </c>
      <c r="AN29" s="114">
        <v>7.0000000000000007E-2</v>
      </c>
      <c r="AO29" s="114">
        <v>0.04</v>
      </c>
      <c r="AP29" s="114">
        <v>0.01</v>
      </c>
      <c r="AR29" s="137">
        <f t="shared" ref="AR29:AR52" si="25">(AN29-AO29)*V29*20</f>
        <v>0</v>
      </c>
      <c r="AT29" s="114">
        <f t="shared" si="8"/>
        <v>1.98</v>
      </c>
      <c r="AU29" s="114">
        <f t="shared" si="9"/>
        <v>15.84</v>
      </c>
      <c r="AW29" s="114">
        <f t="shared" si="10"/>
        <v>700</v>
      </c>
      <c r="AX29" s="114">
        <f t="shared" si="11"/>
        <v>1500</v>
      </c>
      <c r="AY29" s="114">
        <f t="shared" si="12"/>
        <v>500</v>
      </c>
      <c r="BA29" s="137">
        <f t="shared" si="13"/>
        <v>0.55000000000000004</v>
      </c>
    </row>
    <row r="30" spans="1:53" ht="27.6" customHeight="1">
      <c r="A30" s="130" t="s">
        <v>79</v>
      </c>
      <c r="B30" s="165" t="s">
        <v>80</v>
      </c>
      <c r="C30" s="114" t="s">
        <v>73</v>
      </c>
      <c r="D30" s="114">
        <v>48</v>
      </c>
      <c r="E30" s="114">
        <v>20</v>
      </c>
      <c r="F30" s="143">
        <v>5</v>
      </c>
      <c r="G30" s="114" t="s">
        <v>66</v>
      </c>
      <c r="H30" s="114">
        <v>1</v>
      </c>
      <c r="I30" s="114" t="s">
        <v>66</v>
      </c>
      <c r="J30" s="114">
        <v>5</v>
      </c>
      <c r="K30" s="114">
        <v>1</v>
      </c>
      <c r="L30" s="144">
        <f>3600/(1046*D30/(K30*110))</f>
        <v>7.8871892925430211</v>
      </c>
      <c r="M30" s="139">
        <f t="shared" si="4"/>
        <v>78.871892925430217</v>
      </c>
      <c r="N30" s="145">
        <v>430</v>
      </c>
      <c r="O30" s="145">
        <v>1</v>
      </c>
      <c r="P30" s="140">
        <f t="shared" si="5"/>
        <v>1</v>
      </c>
      <c r="Q30" s="145" t="s">
        <v>83</v>
      </c>
      <c r="R30" s="114">
        <f t="shared" ref="R30:R45" si="26">29*F30/D30</f>
        <v>3.0208333333333335</v>
      </c>
      <c r="T30" s="114" t="s">
        <v>84</v>
      </c>
      <c r="V30" s="138">
        <v>3</v>
      </c>
      <c r="X30" s="138">
        <v>1</v>
      </c>
      <c r="Z30" s="138">
        <v>2</v>
      </c>
      <c r="AA30" s="114">
        <f t="shared" si="14"/>
        <v>0.17984578746950677</v>
      </c>
      <c r="AC30" s="114">
        <v>0.02</v>
      </c>
      <c r="AD30" s="114">
        <v>0.01</v>
      </c>
      <c r="AE30" s="137">
        <v>0</v>
      </c>
      <c r="AF30" s="137"/>
      <c r="AG30" s="137">
        <f t="shared" si="15"/>
        <v>0.65999999999999992</v>
      </c>
      <c r="AH30" s="137"/>
      <c r="AI30" s="137">
        <f t="shared" ref="AI30:AI46" si="27">(AC30-AD30)*X30*4</f>
        <v>0.04</v>
      </c>
      <c r="AJ30" s="137"/>
      <c r="AK30" s="137">
        <f t="shared" si="17"/>
        <v>0.16</v>
      </c>
      <c r="AL30" s="114">
        <v>0.01</v>
      </c>
      <c r="AM30" s="114">
        <v>0.01</v>
      </c>
      <c r="AN30" s="114">
        <v>0.03</v>
      </c>
      <c r="AO30" s="114">
        <v>0.01</v>
      </c>
      <c r="AP30" s="137">
        <v>0</v>
      </c>
      <c r="AR30" s="137">
        <f t="shared" si="25"/>
        <v>1.1999999999999997</v>
      </c>
      <c r="AT30" s="137">
        <f t="shared" si="8"/>
        <v>1.98</v>
      </c>
      <c r="AU30" s="137">
        <f t="shared" si="9"/>
        <v>15.84</v>
      </c>
      <c r="AW30" s="114">
        <f t="shared" si="10"/>
        <v>700</v>
      </c>
      <c r="AX30" s="114">
        <f t="shared" si="11"/>
        <v>1500</v>
      </c>
      <c r="AY30" s="114">
        <f t="shared" si="12"/>
        <v>500</v>
      </c>
      <c r="BA30" s="137">
        <f t="shared" si="13"/>
        <v>0.55000000000000004</v>
      </c>
    </row>
    <row r="31" spans="1:53" ht="27.6" customHeight="1">
      <c r="A31" s="130" t="s">
        <v>79</v>
      </c>
      <c r="B31" s="165" t="s">
        <v>80</v>
      </c>
      <c r="C31" s="114" t="s">
        <v>73</v>
      </c>
      <c r="D31" s="114">
        <v>48</v>
      </c>
      <c r="E31" s="114">
        <v>20</v>
      </c>
      <c r="F31" s="141" t="s">
        <v>85</v>
      </c>
      <c r="G31" s="114" t="s">
        <v>86</v>
      </c>
      <c r="H31" s="114">
        <v>1</v>
      </c>
      <c r="I31" s="114" t="s">
        <v>86</v>
      </c>
      <c r="J31" s="114">
        <v>5</v>
      </c>
      <c r="K31" s="114">
        <v>1</v>
      </c>
      <c r="L31" s="144">
        <f t="shared" si="20"/>
        <v>7.8871892925430211</v>
      </c>
      <c r="M31" s="139">
        <f t="shared" si="4"/>
        <v>78.871892925430217</v>
      </c>
      <c r="N31" s="145">
        <v>430</v>
      </c>
      <c r="O31" s="145">
        <v>1</v>
      </c>
      <c r="P31" s="140">
        <f t="shared" si="5"/>
        <v>1</v>
      </c>
      <c r="Q31" s="145" t="s">
        <v>75</v>
      </c>
      <c r="R31" s="114">
        <f t="shared" si="26"/>
        <v>6.041666666666667</v>
      </c>
      <c r="T31" s="141" t="s">
        <v>87</v>
      </c>
      <c r="U31" s="142">
        <v>4</v>
      </c>
      <c r="W31" s="142">
        <v>2</v>
      </c>
      <c r="Y31" s="142">
        <v>3</v>
      </c>
      <c r="AA31" s="114">
        <f t="shared" si="14"/>
        <v>0.28894426495004116</v>
      </c>
      <c r="AC31" s="137">
        <v>0.2</v>
      </c>
      <c r="AD31" s="114">
        <v>0.11</v>
      </c>
      <c r="AE31" s="114">
        <v>0.02</v>
      </c>
      <c r="AF31" s="137">
        <f t="shared" si="18"/>
        <v>7.9200000000000008</v>
      </c>
      <c r="AG31" s="137"/>
      <c r="AH31" s="137">
        <f t="shared" si="24"/>
        <v>0.72000000000000008</v>
      </c>
      <c r="AI31" s="137"/>
      <c r="AJ31" s="137">
        <f t="shared" si="7"/>
        <v>2.16</v>
      </c>
      <c r="AK31" s="137"/>
      <c r="AL31" s="114">
        <v>0.15</v>
      </c>
      <c r="AM31" s="114">
        <v>0.11</v>
      </c>
      <c r="AN31" s="114">
        <v>0.39</v>
      </c>
      <c r="AO31" s="114">
        <v>0.16</v>
      </c>
      <c r="AP31" s="114">
        <v>0.02</v>
      </c>
      <c r="AR31" s="137">
        <f t="shared" si="25"/>
        <v>0</v>
      </c>
      <c r="AT31" s="137">
        <f t="shared" si="8"/>
        <v>1.98</v>
      </c>
      <c r="AU31" s="137">
        <f t="shared" si="9"/>
        <v>15.84</v>
      </c>
      <c r="AW31" s="114">
        <f t="shared" si="10"/>
        <v>700</v>
      </c>
      <c r="AX31" s="114">
        <f t="shared" si="11"/>
        <v>1500</v>
      </c>
      <c r="AY31" s="114">
        <f t="shared" si="12"/>
        <v>500</v>
      </c>
      <c r="BA31" s="137">
        <f t="shared" si="13"/>
        <v>0.55000000000000004</v>
      </c>
    </row>
    <row r="32" spans="1:53" ht="27.6" customHeight="1">
      <c r="A32" s="130" t="s">
        <v>79</v>
      </c>
      <c r="B32" s="165" t="s">
        <v>80</v>
      </c>
      <c r="C32" s="114" t="s">
        <v>73</v>
      </c>
      <c r="D32" s="114">
        <v>48</v>
      </c>
      <c r="E32" s="114">
        <v>20</v>
      </c>
      <c r="F32" s="141" t="s">
        <v>85</v>
      </c>
      <c r="G32" s="114" t="s">
        <v>86</v>
      </c>
      <c r="H32" s="114">
        <v>1</v>
      </c>
      <c r="I32" s="114" t="s">
        <v>86</v>
      </c>
      <c r="J32" s="114">
        <v>5</v>
      </c>
      <c r="K32" s="114">
        <v>1</v>
      </c>
      <c r="L32" s="144">
        <f>3600/(1046*D32/(K32*110))</f>
        <v>7.8871892925430211</v>
      </c>
      <c r="M32" s="139">
        <f t="shared" si="4"/>
        <v>78.871892925430217</v>
      </c>
      <c r="N32" s="145">
        <v>430</v>
      </c>
      <c r="O32" s="145">
        <v>1</v>
      </c>
      <c r="P32" s="140">
        <f t="shared" si="5"/>
        <v>1</v>
      </c>
      <c r="Q32" s="145" t="s">
        <v>83</v>
      </c>
      <c r="R32" s="141">
        <f>29*F32/D32</f>
        <v>6.041666666666667</v>
      </c>
      <c r="V32" s="138">
        <v>4</v>
      </c>
      <c r="X32" s="138">
        <v>2</v>
      </c>
      <c r="Z32" s="138">
        <v>3</v>
      </c>
      <c r="AA32" s="114">
        <f t="shared" si="14"/>
        <v>0.28894426495004116</v>
      </c>
      <c r="AC32" s="114">
        <v>0.08</v>
      </c>
      <c r="AD32" s="114">
        <v>0.04</v>
      </c>
      <c r="AE32" s="114">
        <v>0.01</v>
      </c>
      <c r="AF32" s="137"/>
      <c r="AG32" s="137">
        <f t="shared" si="15"/>
        <v>3.52</v>
      </c>
      <c r="AH32" s="137"/>
      <c r="AI32" s="137">
        <f t="shared" si="27"/>
        <v>0.32</v>
      </c>
      <c r="AJ32" s="137"/>
      <c r="AK32" s="137">
        <f t="shared" si="17"/>
        <v>0.96</v>
      </c>
      <c r="AL32" s="114">
        <v>0.06</v>
      </c>
      <c r="AM32" s="114">
        <v>0.04</v>
      </c>
      <c r="AN32" s="114">
        <v>0.19</v>
      </c>
      <c r="AO32" s="114">
        <v>0.06</v>
      </c>
      <c r="AP32" s="114">
        <v>0.01</v>
      </c>
      <c r="AR32" s="137">
        <f t="shared" si="25"/>
        <v>10.4</v>
      </c>
      <c r="AT32" s="137">
        <f t="shared" si="8"/>
        <v>1.98</v>
      </c>
      <c r="AU32" s="137">
        <f t="shared" si="9"/>
        <v>15.84</v>
      </c>
      <c r="AW32" s="114">
        <f t="shared" si="10"/>
        <v>700</v>
      </c>
      <c r="AX32" s="114">
        <f t="shared" si="11"/>
        <v>1500</v>
      </c>
      <c r="AY32" s="114">
        <f t="shared" si="12"/>
        <v>500</v>
      </c>
      <c r="BA32" s="137">
        <f t="shared" si="13"/>
        <v>0.55000000000000004</v>
      </c>
    </row>
    <row r="33" spans="1:53" ht="27.6" customHeight="1">
      <c r="A33" s="130" t="s">
        <v>79</v>
      </c>
      <c r="B33" s="165" t="s">
        <v>80</v>
      </c>
      <c r="C33" s="114" t="s">
        <v>73</v>
      </c>
      <c r="D33" s="114">
        <v>48</v>
      </c>
      <c r="E33" s="114">
        <v>20</v>
      </c>
      <c r="F33" s="141" t="s">
        <v>85</v>
      </c>
      <c r="G33" s="114" t="s">
        <v>86</v>
      </c>
      <c r="H33" s="114">
        <v>3</v>
      </c>
      <c r="I33" s="114" t="s">
        <v>86</v>
      </c>
      <c r="J33" s="114">
        <v>5</v>
      </c>
      <c r="K33" s="114">
        <v>1</v>
      </c>
      <c r="L33" s="144">
        <f t="shared" ref="L33:L49" si="28">3600/(1046*D33/(K33*110))</f>
        <v>7.8871892925430211</v>
      </c>
      <c r="M33" s="139">
        <f t="shared" si="4"/>
        <v>78.871892925430217</v>
      </c>
      <c r="N33" s="145">
        <v>430</v>
      </c>
      <c r="O33" s="145">
        <v>1</v>
      </c>
      <c r="P33" s="140">
        <f t="shared" si="5"/>
        <v>1</v>
      </c>
      <c r="Q33" s="145" t="s">
        <v>75</v>
      </c>
      <c r="R33" s="114">
        <f t="shared" si="26"/>
        <v>6.041666666666667</v>
      </c>
      <c r="T33" s="114" t="s">
        <v>88</v>
      </c>
      <c r="U33" s="142">
        <v>1</v>
      </c>
      <c r="W33" s="142">
        <v>0</v>
      </c>
      <c r="Y33" s="142">
        <v>0</v>
      </c>
      <c r="AA33" s="114">
        <f>_xlfn.BINOM.DIST(H33,F33,$U$2, FALSE)</f>
        <v>6.9516552939640104E-3</v>
      </c>
      <c r="AC33" s="114">
        <v>0.33</v>
      </c>
      <c r="AD33" s="114">
        <v>0.21</v>
      </c>
      <c r="AE33" s="114">
        <v>0.05</v>
      </c>
      <c r="AF33" s="137">
        <f t="shared" si="18"/>
        <v>2.6400000000000006</v>
      </c>
      <c r="AG33" s="137"/>
      <c r="AH33" s="137">
        <f t="shared" si="24"/>
        <v>0</v>
      </c>
      <c r="AI33" s="137"/>
      <c r="AJ33" s="137">
        <f t="shared" si="7"/>
        <v>0</v>
      </c>
      <c r="AK33" s="137"/>
      <c r="AL33" s="114">
        <v>0.25</v>
      </c>
      <c r="AM33" s="137">
        <v>0.2</v>
      </c>
      <c r="AN33" s="114">
        <v>0.56000000000000005</v>
      </c>
      <c r="AO33" s="114">
        <v>0.27</v>
      </c>
      <c r="AP33" s="114">
        <v>0.05</v>
      </c>
      <c r="AR33" s="137">
        <f t="shared" si="25"/>
        <v>0</v>
      </c>
      <c r="AT33" s="137">
        <f t="shared" si="8"/>
        <v>1.98</v>
      </c>
      <c r="AU33" s="137">
        <f t="shared" si="9"/>
        <v>15.84</v>
      </c>
      <c r="AW33" s="114">
        <f t="shared" si="10"/>
        <v>700</v>
      </c>
      <c r="AX33" s="114">
        <f t="shared" si="11"/>
        <v>1500</v>
      </c>
      <c r="AY33" s="114">
        <f t="shared" si="12"/>
        <v>500</v>
      </c>
      <c r="BA33" s="137">
        <f t="shared" si="13"/>
        <v>0.55000000000000004</v>
      </c>
    </row>
    <row r="34" spans="1:53" ht="27.6" customHeight="1" thickBot="1">
      <c r="A34" s="130" t="s">
        <v>79</v>
      </c>
      <c r="B34" s="165" t="s">
        <v>80</v>
      </c>
      <c r="C34" s="114" t="s">
        <v>73</v>
      </c>
      <c r="D34" s="114">
        <v>48</v>
      </c>
      <c r="E34" s="114">
        <v>20</v>
      </c>
      <c r="F34" s="141" t="s">
        <v>85</v>
      </c>
      <c r="G34" s="114" t="s">
        <v>86</v>
      </c>
      <c r="H34" s="114">
        <v>3</v>
      </c>
      <c r="I34" s="114" t="s">
        <v>86</v>
      </c>
      <c r="J34" s="114">
        <v>5</v>
      </c>
      <c r="K34" s="114">
        <v>1</v>
      </c>
      <c r="L34" s="144">
        <f>3600/(1046*D34/(K34*110))</f>
        <v>7.8871892925430211</v>
      </c>
      <c r="M34" s="139">
        <f t="shared" si="4"/>
        <v>78.871892925430217</v>
      </c>
      <c r="N34" s="145">
        <v>430</v>
      </c>
      <c r="O34" s="145">
        <v>1</v>
      </c>
      <c r="P34" s="140">
        <f t="shared" si="5"/>
        <v>1</v>
      </c>
      <c r="Q34" s="145" t="s">
        <v>83</v>
      </c>
      <c r="R34" s="114">
        <f t="shared" si="26"/>
        <v>6.041666666666667</v>
      </c>
      <c r="U34" s="152"/>
      <c r="V34" s="167">
        <v>1</v>
      </c>
      <c r="W34" s="152"/>
      <c r="X34" s="167">
        <v>0</v>
      </c>
      <c r="Y34" s="152"/>
      <c r="Z34" s="167">
        <v>0</v>
      </c>
      <c r="AA34" s="114">
        <f>_xlfn.BINOM.DIST(H34,F34,$U$2, FALSE)</f>
        <v>6.9516552939640104E-3</v>
      </c>
      <c r="AC34" s="114">
        <v>0.16</v>
      </c>
      <c r="AD34" s="114">
        <v>0.09</v>
      </c>
      <c r="AE34" s="114">
        <v>0.02</v>
      </c>
      <c r="AF34" s="137"/>
      <c r="AG34" s="137">
        <f t="shared" si="15"/>
        <v>1.54</v>
      </c>
      <c r="AH34" s="137"/>
      <c r="AI34" s="137">
        <f t="shared" si="27"/>
        <v>0</v>
      </c>
      <c r="AJ34" s="137"/>
      <c r="AK34" s="137">
        <f t="shared" si="17"/>
        <v>0</v>
      </c>
      <c r="AL34" s="114">
        <v>0.12</v>
      </c>
      <c r="AM34" s="114">
        <v>0.08</v>
      </c>
      <c r="AN34" s="114">
        <v>0.31</v>
      </c>
      <c r="AO34" s="114">
        <v>0.13</v>
      </c>
      <c r="AP34" s="114">
        <v>0.02</v>
      </c>
      <c r="AR34" s="137">
        <f t="shared" si="25"/>
        <v>3.5999999999999996</v>
      </c>
      <c r="AT34" s="137">
        <f t="shared" si="8"/>
        <v>1.98</v>
      </c>
      <c r="AU34" s="137">
        <f t="shared" si="9"/>
        <v>15.84</v>
      </c>
      <c r="AW34" s="114">
        <f t="shared" si="10"/>
        <v>700</v>
      </c>
      <c r="AX34" s="114">
        <f t="shared" si="11"/>
        <v>1500</v>
      </c>
      <c r="AY34" s="114">
        <f t="shared" si="12"/>
        <v>500</v>
      </c>
      <c r="BA34" s="137">
        <f t="shared" si="13"/>
        <v>0.55000000000000004</v>
      </c>
    </row>
    <row r="35" spans="1:53" ht="31.05" customHeight="1">
      <c r="A35" s="130" t="s">
        <v>89</v>
      </c>
      <c r="B35" s="168" t="s">
        <v>90</v>
      </c>
      <c r="C35" s="114" t="s">
        <v>49</v>
      </c>
      <c r="D35" s="114">
        <f>6*4*2.8</f>
        <v>67.199999999999989</v>
      </c>
      <c r="E35" s="114">
        <f>6*4</f>
        <v>24</v>
      </c>
      <c r="F35" s="114">
        <v>10</v>
      </c>
      <c r="G35" s="114" t="s">
        <v>91</v>
      </c>
      <c r="H35" s="114">
        <v>1</v>
      </c>
      <c r="I35" s="114" t="s">
        <v>66</v>
      </c>
      <c r="J35" s="114">
        <v>5</v>
      </c>
      <c r="K35" s="114">
        <v>1</v>
      </c>
      <c r="L35" s="144">
        <f t="shared" ref="L35" si="29">3600/(1046*D35/(K35*110))</f>
        <v>5.6337066375307305</v>
      </c>
      <c r="M35" s="139">
        <f t="shared" si="4"/>
        <v>56.337066375307302</v>
      </c>
      <c r="N35" s="145">
        <v>430</v>
      </c>
      <c r="O35" s="145">
        <v>1</v>
      </c>
      <c r="P35" s="140">
        <f t="shared" si="5"/>
        <v>1</v>
      </c>
      <c r="Q35" s="145" t="s">
        <v>75</v>
      </c>
      <c r="R35" s="114">
        <f t="shared" si="26"/>
        <v>4.3154761904761916</v>
      </c>
      <c r="T35" s="114" t="s">
        <v>92</v>
      </c>
      <c r="U35" s="142">
        <v>8</v>
      </c>
      <c r="W35" s="142">
        <v>2</v>
      </c>
      <c r="Y35" s="142">
        <v>4</v>
      </c>
      <c r="AA35" s="114">
        <f t="shared" si="14"/>
        <v>0.28894426495004116</v>
      </c>
      <c r="AC35" s="114">
        <v>7.0000000000000007E-2</v>
      </c>
      <c r="AD35" s="114">
        <v>0.05</v>
      </c>
      <c r="AE35" s="114">
        <v>0.01</v>
      </c>
      <c r="AF35" s="137">
        <f t="shared" ref="AF35:AF52" si="30">(AC35-AD35)*U35*22</f>
        <v>3.5200000000000005</v>
      </c>
      <c r="AG35" s="137"/>
      <c r="AH35" s="137">
        <f t="shared" si="24"/>
        <v>0.16000000000000003</v>
      </c>
      <c r="AI35" s="137"/>
      <c r="AJ35" s="137">
        <f t="shared" si="7"/>
        <v>0.64000000000000012</v>
      </c>
      <c r="AK35" s="137"/>
      <c r="AL35" s="114">
        <v>7.0000000000000007E-2</v>
      </c>
      <c r="AM35" s="114">
        <v>0.05</v>
      </c>
      <c r="AN35" s="114">
        <v>0.13</v>
      </c>
      <c r="AO35" s="114">
        <v>7.0000000000000007E-2</v>
      </c>
      <c r="AP35" s="114">
        <v>0.01</v>
      </c>
      <c r="AR35" s="137">
        <f t="shared" si="25"/>
        <v>0</v>
      </c>
      <c r="AT35" s="137">
        <f t="shared" si="8"/>
        <v>1.65</v>
      </c>
      <c r="AU35" s="137">
        <f t="shared" si="9"/>
        <v>13.2</v>
      </c>
      <c r="AW35" s="114">
        <f t="shared" si="10"/>
        <v>700</v>
      </c>
      <c r="AX35" s="114">
        <f t="shared" si="11"/>
        <v>1500</v>
      </c>
      <c r="AY35" s="114">
        <f t="shared" si="12"/>
        <v>500</v>
      </c>
      <c r="BA35" s="137">
        <f t="shared" si="13"/>
        <v>0.45833333333333331</v>
      </c>
    </row>
    <row r="36" spans="1:53" ht="31.05" customHeight="1">
      <c r="A36" s="130" t="s">
        <v>89</v>
      </c>
      <c r="B36" s="168" t="s">
        <v>90</v>
      </c>
      <c r="C36" s="114" t="s">
        <v>49</v>
      </c>
      <c r="D36" s="114">
        <f>6*4*2.8</f>
        <v>67.199999999999989</v>
      </c>
      <c r="E36" s="114">
        <f>6*4</f>
        <v>24</v>
      </c>
      <c r="F36" s="114">
        <v>10</v>
      </c>
      <c r="G36" s="114" t="s">
        <v>91</v>
      </c>
      <c r="H36" s="114">
        <v>1</v>
      </c>
      <c r="I36" s="114" t="s">
        <v>66</v>
      </c>
      <c r="J36" s="114">
        <v>5</v>
      </c>
      <c r="K36" s="114">
        <v>1</v>
      </c>
      <c r="L36" s="144">
        <f>3600/(1046*D36/(K36*110))</f>
        <v>5.6337066375307305</v>
      </c>
      <c r="M36" s="139">
        <f t="shared" si="4"/>
        <v>56.337066375307302</v>
      </c>
      <c r="N36" s="145">
        <v>430</v>
      </c>
      <c r="O36" s="145">
        <v>1</v>
      </c>
      <c r="P36" s="140">
        <f>ROUND(D36*L36/430, 0)</f>
        <v>1</v>
      </c>
      <c r="Q36" s="145" t="s">
        <v>83</v>
      </c>
      <c r="R36" s="114">
        <f t="shared" si="26"/>
        <v>4.3154761904761916</v>
      </c>
      <c r="T36" s="114" t="s">
        <v>93</v>
      </c>
      <c r="V36" s="138">
        <v>8</v>
      </c>
      <c r="X36" s="138">
        <v>2</v>
      </c>
      <c r="Z36" s="138">
        <v>4</v>
      </c>
      <c r="AA36" s="114">
        <f t="shared" si="14"/>
        <v>0.28894426495004116</v>
      </c>
      <c r="AC36" s="114">
        <v>0.03</v>
      </c>
      <c r="AD36" s="114">
        <v>0.02</v>
      </c>
      <c r="AE36" s="137">
        <v>0</v>
      </c>
      <c r="AF36" s="137"/>
      <c r="AG36" s="137">
        <f t="shared" ref="AG36:AG46" si="31">(AC36-AD36)*V36*22</f>
        <v>1.7599999999999998</v>
      </c>
      <c r="AH36" s="137"/>
      <c r="AI36" s="137">
        <f t="shared" si="27"/>
        <v>7.9999999999999988E-2</v>
      </c>
      <c r="AJ36" s="137"/>
      <c r="AK36" s="137">
        <f t="shared" si="17"/>
        <v>0.31999999999999995</v>
      </c>
      <c r="AL36" s="114">
        <v>0.02</v>
      </c>
      <c r="AM36" s="114">
        <v>0.02</v>
      </c>
      <c r="AN36" s="114">
        <v>0.05</v>
      </c>
      <c r="AO36" s="114">
        <v>0.03</v>
      </c>
      <c r="AP36" s="137">
        <v>0</v>
      </c>
      <c r="AR36" s="137">
        <f t="shared" si="25"/>
        <v>3.2000000000000006</v>
      </c>
      <c r="AT36" s="137">
        <f t="shared" si="8"/>
        <v>1.65</v>
      </c>
      <c r="AU36" s="137">
        <f t="shared" si="9"/>
        <v>13.2</v>
      </c>
      <c r="AW36" s="114">
        <f t="shared" si="10"/>
        <v>700</v>
      </c>
      <c r="AX36" s="114">
        <f t="shared" si="11"/>
        <v>1500</v>
      </c>
      <c r="AY36" s="114">
        <f t="shared" si="12"/>
        <v>500</v>
      </c>
      <c r="BA36" s="137">
        <f t="shared" si="13"/>
        <v>0.45833333333333331</v>
      </c>
    </row>
    <row r="37" spans="1:53" ht="30.6" customHeight="1">
      <c r="A37" s="130" t="s">
        <v>89</v>
      </c>
      <c r="B37" s="168" t="s">
        <v>90</v>
      </c>
      <c r="C37" s="114" t="s">
        <v>49</v>
      </c>
      <c r="D37" s="114">
        <f>6*4*2.8</f>
        <v>67.199999999999989</v>
      </c>
      <c r="E37" s="114">
        <f>6*4</f>
        <v>24</v>
      </c>
      <c r="F37" s="114">
        <v>10</v>
      </c>
      <c r="G37" s="114" t="s">
        <v>94</v>
      </c>
      <c r="H37" s="114">
        <v>1</v>
      </c>
      <c r="I37" s="114" t="s">
        <v>95</v>
      </c>
      <c r="J37" s="114">
        <v>5</v>
      </c>
      <c r="K37" s="114">
        <v>1</v>
      </c>
      <c r="L37" s="144">
        <f>3600/(1046*D37/(K37*110))</f>
        <v>5.6337066375307305</v>
      </c>
      <c r="M37" s="139">
        <f t="shared" si="4"/>
        <v>56.337066375307302</v>
      </c>
      <c r="N37" s="145">
        <v>430</v>
      </c>
      <c r="O37" s="145">
        <v>1</v>
      </c>
      <c r="P37" s="140">
        <f t="shared" si="5"/>
        <v>1</v>
      </c>
      <c r="Q37" s="145" t="s">
        <v>75</v>
      </c>
      <c r="R37" s="114">
        <f t="shared" si="26"/>
        <v>4.3154761904761916</v>
      </c>
      <c r="U37" s="142">
        <v>8</v>
      </c>
      <c r="W37" s="142">
        <v>2</v>
      </c>
      <c r="Y37" s="142">
        <v>4</v>
      </c>
      <c r="AA37" s="114">
        <f t="shared" si="14"/>
        <v>0.28894426495004116</v>
      </c>
      <c r="AC37" s="137">
        <v>0.1</v>
      </c>
      <c r="AD37" s="114">
        <v>0.06</v>
      </c>
      <c r="AE37" s="114">
        <v>0.01</v>
      </c>
      <c r="AF37" s="137">
        <f t="shared" si="30"/>
        <v>7.0400000000000009</v>
      </c>
      <c r="AG37" s="137"/>
      <c r="AH37" s="137">
        <f t="shared" si="24"/>
        <v>0.32000000000000006</v>
      </c>
      <c r="AI37" s="137"/>
      <c r="AJ37" s="137">
        <f t="shared" si="7"/>
        <v>1.2800000000000002</v>
      </c>
      <c r="AK37" s="137"/>
      <c r="AL37" s="114">
        <v>0.09</v>
      </c>
      <c r="AM37" s="114">
        <v>0.05</v>
      </c>
      <c r="AN37" s="114">
        <v>0.33</v>
      </c>
      <c r="AO37" s="114">
        <v>0.09</v>
      </c>
      <c r="AP37" s="114">
        <v>0.01</v>
      </c>
      <c r="AR37" s="137">
        <f t="shared" si="25"/>
        <v>0</v>
      </c>
      <c r="AT37" s="137">
        <f t="shared" si="8"/>
        <v>1.65</v>
      </c>
      <c r="AU37" s="137">
        <f t="shared" si="9"/>
        <v>13.2</v>
      </c>
      <c r="AW37" s="114">
        <f t="shared" si="10"/>
        <v>700</v>
      </c>
      <c r="AX37" s="114">
        <f t="shared" si="11"/>
        <v>1500</v>
      </c>
      <c r="AY37" s="114">
        <f t="shared" si="12"/>
        <v>500</v>
      </c>
      <c r="BA37" s="137">
        <f t="shared" si="13"/>
        <v>0.45833333333333331</v>
      </c>
    </row>
    <row r="38" spans="1:53" ht="30.6" customHeight="1" thickBot="1">
      <c r="A38" s="130" t="s">
        <v>89</v>
      </c>
      <c r="B38" s="168" t="s">
        <v>90</v>
      </c>
      <c r="C38" s="114" t="s">
        <v>49</v>
      </c>
      <c r="D38" s="114">
        <f>6*4*2.8</f>
        <v>67.199999999999989</v>
      </c>
      <c r="E38" s="114">
        <f>6*4</f>
        <v>24</v>
      </c>
      <c r="F38" s="114">
        <v>10</v>
      </c>
      <c r="G38" s="114" t="s">
        <v>94</v>
      </c>
      <c r="H38" s="114">
        <v>1</v>
      </c>
      <c r="I38" s="114" t="s">
        <v>95</v>
      </c>
      <c r="J38" s="114">
        <v>5</v>
      </c>
      <c r="K38" s="114">
        <v>1</v>
      </c>
      <c r="L38" s="144">
        <f>3600/(1046*D38/(K38*110))</f>
        <v>5.6337066375307305</v>
      </c>
      <c r="M38" s="139">
        <f t="shared" si="4"/>
        <v>56.337066375307302</v>
      </c>
      <c r="N38" s="145">
        <v>430</v>
      </c>
      <c r="O38" s="145">
        <v>1</v>
      </c>
      <c r="P38" s="140">
        <f t="shared" si="5"/>
        <v>1</v>
      </c>
      <c r="Q38" s="145" t="s">
        <v>83</v>
      </c>
      <c r="R38" s="114">
        <f t="shared" si="26"/>
        <v>4.3154761904761916</v>
      </c>
      <c r="U38" s="152"/>
      <c r="V38" s="167">
        <v>8</v>
      </c>
      <c r="W38" s="152"/>
      <c r="X38" s="167">
        <v>2</v>
      </c>
      <c r="Y38" s="152"/>
      <c r="Z38" s="167">
        <v>4</v>
      </c>
      <c r="AA38" s="114">
        <f t="shared" si="14"/>
        <v>0.28894426495004116</v>
      </c>
      <c r="AC38" s="114">
        <v>0.04</v>
      </c>
      <c r="AD38" s="114">
        <v>0.02</v>
      </c>
      <c r="AE38" s="137">
        <v>0</v>
      </c>
      <c r="AF38" s="137"/>
      <c r="AG38" s="137">
        <f t="shared" si="31"/>
        <v>3.52</v>
      </c>
      <c r="AH38" s="137"/>
      <c r="AI38" s="137">
        <f t="shared" si="27"/>
        <v>0.16</v>
      </c>
      <c r="AJ38" s="137"/>
      <c r="AK38" s="137">
        <f t="shared" si="17"/>
        <v>0.64</v>
      </c>
      <c r="AL38" s="114">
        <v>0.03</v>
      </c>
      <c r="AM38" s="114">
        <v>0.02</v>
      </c>
      <c r="AN38" s="114">
        <v>0.16</v>
      </c>
      <c r="AO38" s="114">
        <v>0.04</v>
      </c>
      <c r="AP38" s="137">
        <v>0</v>
      </c>
      <c r="AR38" s="137">
        <f t="shared" si="25"/>
        <v>19.2</v>
      </c>
      <c r="AT38" s="137">
        <f t="shared" si="8"/>
        <v>1.65</v>
      </c>
      <c r="AU38" s="137">
        <f t="shared" si="9"/>
        <v>13.2</v>
      </c>
      <c r="AW38" s="114">
        <f t="shared" si="10"/>
        <v>700</v>
      </c>
      <c r="AX38" s="114">
        <f t="shared" si="11"/>
        <v>1500</v>
      </c>
      <c r="AY38" s="114">
        <f t="shared" si="12"/>
        <v>500</v>
      </c>
      <c r="BA38" s="137">
        <f t="shared" si="13"/>
        <v>0.45833333333333331</v>
      </c>
    </row>
    <row r="39" spans="1:53" ht="28.8">
      <c r="A39" s="130" t="s">
        <v>89</v>
      </c>
      <c r="B39" s="168" t="s">
        <v>96</v>
      </c>
      <c r="C39" s="114" t="s">
        <v>49</v>
      </c>
      <c r="D39" s="114">
        <f>4*4*2.8</f>
        <v>44.8</v>
      </c>
      <c r="E39" s="114">
        <f>4*4</f>
        <v>16</v>
      </c>
      <c r="F39" s="114">
        <v>12</v>
      </c>
      <c r="G39" s="114" t="s">
        <v>86</v>
      </c>
      <c r="H39" s="114">
        <v>1</v>
      </c>
      <c r="I39" s="114" t="s">
        <v>60</v>
      </c>
      <c r="J39" s="114">
        <v>5</v>
      </c>
      <c r="K39" s="114">
        <v>1</v>
      </c>
      <c r="L39" s="144">
        <f t="shared" si="28"/>
        <v>8.4505599562960949</v>
      </c>
      <c r="M39" s="139">
        <f t="shared" si="4"/>
        <v>84.505599562960953</v>
      </c>
      <c r="N39" s="145">
        <v>430</v>
      </c>
      <c r="O39" s="145">
        <v>1</v>
      </c>
      <c r="P39" s="140">
        <f t="shared" si="5"/>
        <v>1</v>
      </c>
      <c r="Q39" s="145" t="s">
        <v>75</v>
      </c>
      <c r="R39" s="114">
        <f t="shared" si="26"/>
        <v>7.7678571428571432</v>
      </c>
      <c r="T39" s="114" t="s">
        <v>92</v>
      </c>
      <c r="U39" s="142">
        <v>20</v>
      </c>
      <c r="W39" s="142">
        <v>5</v>
      </c>
      <c r="Y39" s="142">
        <v>10</v>
      </c>
      <c r="AA39" s="114">
        <f t="shared" si="14"/>
        <v>0.3176499931495676</v>
      </c>
      <c r="AC39" s="114">
        <v>0.26</v>
      </c>
      <c r="AD39" s="114">
        <v>0.14000000000000001</v>
      </c>
      <c r="AE39" s="114">
        <v>0.03</v>
      </c>
      <c r="AF39" s="137">
        <f>(AC39-AD39)*U39*22</f>
        <v>52.8</v>
      </c>
      <c r="AG39" s="137"/>
      <c r="AH39" s="137">
        <f t="shared" si="24"/>
        <v>2.4</v>
      </c>
      <c r="AI39" s="137"/>
      <c r="AJ39" s="137">
        <f t="shared" si="7"/>
        <v>9.6</v>
      </c>
      <c r="AK39" s="137"/>
      <c r="AL39" s="114">
        <v>0.18</v>
      </c>
      <c r="AM39" s="114">
        <v>0.13</v>
      </c>
      <c r="AN39" s="137">
        <v>0.5</v>
      </c>
      <c r="AO39" s="114">
        <v>0.19</v>
      </c>
      <c r="AP39" s="114">
        <v>0.03</v>
      </c>
      <c r="AR39" s="137">
        <f t="shared" si="25"/>
        <v>0</v>
      </c>
      <c r="AT39" s="137">
        <f t="shared" si="8"/>
        <v>2.4750000000000001</v>
      </c>
      <c r="AU39" s="137">
        <f t="shared" si="9"/>
        <v>19.8</v>
      </c>
      <c r="AW39" s="114">
        <f t="shared" si="10"/>
        <v>700</v>
      </c>
      <c r="AX39" s="114">
        <f t="shared" si="11"/>
        <v>1500</v>
      </c>
      <c r="AY39" s="114">
        <f t="shared" si="12"/>
        <v>500</v>
      </c>
      <c r="BA39" s="137">
        <f t="shared" si="13"/>
        <v>0.68750000000000011</v>
      </c>
    </row>
    <row r="40" spans="1:53" ht="29.4" thickBot="1">
      <c r="A40" s="130" t="s">
        <v>89</v>
      </c>
      <c r="B40" s="168" t="s">
        <v>96</v>
      </c>
      <c r="C40" s="114" t="s">
        <v>49</v>
      </c>
      <c r="D40" s="114">
        <f>4*4*2.8</f>
        <v>44.8</v>
      </c>
      <c r="E40" s="114">
        <f>4*4</f>
        <v>16</v>
      </c>
      <c r="F40" s="114">
        <v>12</v>
      </c>
      <c r="G40" s="114" t="s">
        <v>86</v>
      </c>
      <c r="H40" s="114">
        <v>1</v>
      </c>
      <c r="I40" s="114" t="s">
        <v>60</v>
      </c>
      <c r="J40" s="114">
        <v>5</v>
      </c>
      <c r="K40" s="114">
        <v>1</v>
      </c>
      <c r="L40" s="144">
        <f>3600/(1046*D40/(K40*110))</f>
        <v>8.4505599562960949</v>
      </c>
      <c r="M40" s="139">
        <f t="shared" si="4"/>
        <v>84.505599562960953</v>
      </c>
      <c r="N40" s="145">
        <v>430</v>
      </c>
      <c r="O40" s="145">
        <v>1</v>
      </c>
      <c r="P40" s="140">
        <f t="shared" si="5"/>
        <v>1</v>
      </c>
      <c r="Q40" s="145" t="s">
        <v>83</v>
      </c>
      <c r="R40" s="114">
        <f t="shared" si="26"/>
        <v>7.7678571428571432</v>
      </c>
      <c r="T40" s="114" t="s">
        <v>97</v>
      </c>
      <c r="U40" s="152"/>
      <c r="V40" s="167">
        <v>20</v>
      </c>
      <c r="W40" s="152"/>
      <c r="X40" s="167">
        <v>5</v>
      </c>
      <c r="Y40" s="152"/>
      <c r="Z40" s="167">
        <v>10</v>
      </c>
      <c r="AA40" s="114">
        <f t="shared" si="14"/>
        <v>0.3176499931495676</v>
      </c>
      <c r="AC40" s="114">
        <v>0.11</v>
      </c>
      <c r="AD40" s="114">
        <v>0.06</v>
      </c>
      <c r="AE40" s="114">
        <v>0.01</v>
      </c>
      <c r="AF40" s="137"/>
      <c r="AG40" s="137">
        <f t="shared" si="31"/>
        <v>22</v>
      </c>
      <c r="AH40" s="137"/>
      <c r="AI40" s="137">
        <f t="shared" si="27"/>
        <v>1</v>
      </c>
      <c r="AJ40" s="137"/>
      <c r="AK40" s="137">
        <f t="shared" si="17"/>
        <v>4</v>
      </c>
      <c r="AL40" s="114">
        <v>7.0000000000000007E-2</v>
      </c>
      <c r="AM40" s="114">
        <v>0.05</v>
      </c>
      <c r="AN40" s="114">
        <v>0.24</v>
      </c>
      <c r="AO40" s="114">
        <v>0.08</v>
      </c>
      <c r="AP40" s="114">
        <v>0.01</v>
      </c>
      <c r="AR40" s="137">
        <f t="shared" si="25"/>
        <v>63.999999999999986</v>
      </c>
      <c r="AT40" s="137">
        <f t="shared" si="8"/>
        <v>2.4750000000000001</v>
      </c>
      <c r="AU40" s="137">
        <f t="shared" si="9"/>
        <v>19.8</v>
      </c>
      <c r="AW40" s="114">
        <f t="shared" si="10"/>
        <v>700</v>
      </c>
      <c r="AX40" s="114">
        <f t="shared" si="11"/>
        <v>1500</v>
      </c>
      <c r="AY40" s="114">
        <f t="shared" si="12"/>
        <v>500</v>
      </c>
      <c r="BA40" s="137">
        <f t="shared" si="13"/>
        <v>0.68750000000000011</v>
      </c>
    </row>
    <row r="41" spans="1:53" ht="28.8">
      <c r="A41" s="130" t="s">
        <v>89</v>
      </c>
      <c r="B41" s="168" t="s">
        <v>98</v>
      </c>
      <c r="C41" s="114" t="s">
        <v>99</v>
      </c>
      <c r="D41" s="114">
        <f t="shared" ref="D41:D46" si="32">9*9*4-(2*3*4)*2</f>
        <v>276</v>
      </c>
      <c r="E41" s="114">
        <f t="shared" ref="E41:E46" si="33">9*9-2*3*2</f>
        <v>69</v>
      </c>
      <c r="F41" s="114">
        <v>4</v>
      </c>
      <c r="G41" s="114" t="s">
        <v>86</v>
      </c>
      <c r="H41" s="114">
        <v>1</v>
      </c>
      <c r="I41" s="114" t="s">
        <v>86</v>
      </c>
      <c r="J41" s="114">
        <v>5</v>
      </c>
      <c r="K41" s="114">
        <v>5</v>
      </c>
      <c r="L41" s="144">
        <f t="shared" ref="L41" si="34">3600/(1046*D41/(K41*110))</f>
        <v>6.85842547177654</v>
      </c>
      <c r="M41" s="139">
        <f t="shared" si="4"/>
        <v>68.584254717765404</v>
      </c>
      <c r="N41" s="145">
        <v>1720</v>
      </c>
      <c r="O41" s="145">
        <v>4</v>
      </c>
      <c r="P41" s="140">
        <f t="shared" si="5"/>
        <v>4</v>
      </c>
      <c r="Q41" s="145" t="s">
        <v>75</v>
      </c>
      <c r="R41" s="114">
        <f t="shared" si="26"/>
        <v>0.42028985507246375</v>
      </c>
      <c r="T41" s="114" t="s">
        <v>100</v>
      </c>
      <c r="U41" s="142">
        <v>6</v>
      </c>
      <c r="W41" s="142">
        <v>2</v>
      </c>
      <c r="Y41" s="142">
        <v>3</v>
      </c>
      <c r="AA41" s="114">
        <f t="shared" si="14"/>
        <v>0.15031886713869219</v>
      </c>
      <c r="AC41" s="114">
        <v>0.02</v>
      </c>
      <c r="AD41" s="114">
        <v>0.01</v>
      </c>
      <c r="AE41" s="137">
        <v>0</v>
      </c>
      <c r="AF41" s="137">
        <f t="shared" si="30"/>
        <v>1.3199999999999998</v>
      </c>
      <c r="AG41" s="137"/>
      <c r="AH41" s="137">
        <f t="shared" si="24"/>
        <v>0.08</v>
      </c>
      <c r="AI41" s="137"/>
      <c r="AJ41" s="137">
        <f t="shared" si="7"/>
        <v>0.24</v>
      </c>
      <c r="AK41" s="137"/>
      <c r="AL41" s="114">
        <v>0.01</v>
      </c>
      <c r="AM41" s="137">
        <v>0.01</v>
      </c>
      <c r="AN41" s="114">
        <v>0.04</v>
      </c>
      <c r="AO41" s="114">
        <v>0.01</v>
      </c>
      <c r="AP41" s="137">
        <v>0</v>
      </c>
      <c r="AR41" s="137">
        <f t="shared" si="25"/>
        <v>0</v>
      </c>
      <c r="AT41" s="137">
        <f t="shared" si="8"/>
        <v>2.8695652173913042</v>
      </c>
      <c r="AU41" s="137">
        <f t="shared" si="9"/>
        <v>22.956521739130434</v>
      </c>
      <c r="AW41" s="114">
        <f t="shared" si="10"/>
        <v>2800</v>
      </c>
      <c r="AX41" s="114">
        <f t="shared" si="11"/>
        <v>7500</v>
      </c>
      <c r="AY41" s="114">
        <f t="shared" si="12"/>
        <v>2500</v>
      </c>
      <c r="BA41" s="137">
        <f t="shared" si="13"/>
        <v>0.79710144927536231</v>
      </c>
    </row>
    <row r="42" spans="1:53" ht="28.8">
      <c r="A42" s="130" t="s">
        <v>89</v>
      </c>
      <c r="B42" s="168" t="s">
        <v>98</v>
      </c>
      <c r="C42" s="114" t="s">
        <v>99</v>
      </c>
      <c r="D42" s="114">
        <f t="shared" si="32"/>
        <v>276</v>
      </c>
      <c r="E42" s="114">
        <f t="shared" si="33"/>
        <v>69</v>
      </c>
      <c r="F42" s="114">
        <v>4</v>
      </c>
      <c r="G42" s="114" t="s">
        <v>86</v>
      </c>
      <c r="H42" s="114">
        <v>1</v>
      </c>
      <c r="I42" s="114" t="s">
        <v>86</v>
      </c>
      <c r="J42" s="114">
        <v>5</v>
      </c>
      <c r="K42" s="114">
        <v>5</v>
      </c>
      <c r="L42" s="144">
        <f>3600/(1046*D42/(K42*110))</f>
        <v>6.85842547177654</v>
      </c>
      <c r="M42" s="139">
        <f t="shared" si="4"/>
        <v>68.584254717765404</v>
      </c>
      <c r="N42" s="145">
        <v>1720</v>
      </c>
      <c r="O42" s="145">
        <v>4</v>
      </c>
      <c r="P42" s="140">
        <f t="shared" si="5"/>
        <v>4</v>
      </c>
      <c r="Q42" s="145" t="s">
        <v>83</v>
      </c>
      <c r="R42" s="114">
        <f t="shared" si="26"/>
        <v>0.42028985507246375</v>
      </c>
      <c r="T42" s="114" t="s">
        <v>101</v>
      </c>
      <c r="V42" s="138">
        <v>6</v>
      </c>
      <c r="X42" s="138">
        <v>2</v>
      </c>
      <c r="Z42" s="138">
        <v>3</v>
      </c>
      <c r="AA42" s="114">
        <f t="shared" si="14"/>
        <v>0.15031886713869219</v>
      </c>
      <c r="AC42" s="137">
        <v>0.01</v>
      </c>
      <c r="AD42" s="137">
        <v>0</v>
      </c>
      <c r="AE42" s="137">
        <v>0</v>
      </c>
      <c r="AF42" s="137"/>
      <c r="AG42" s="137">
        <f t="shared" si="31"/>
        <v>1.3199999999999998</v>
      </c>
      <c r="AH42" s="137"/>
      <c r="AI42" s="137">
        <f t="shared" si="27"/>
        <v>0.08</v>
      </c>
      <c r="AJ42" s="137"/>
      <c r="AK42" s="137">
        <f t="shared" si="17"/>
        <v>0.24</v>
      </c>
      <c r="AL42" s="137">
        <v>0</v>
      </c>
      <c r="AM42" s="137">
        <v>0</v>
      </c>
      <c r="AN42" s="137">
        <v>0.01</v>
      </c>
      <c r="AO42" s="137">
        <v>0</v>
      </c>
      <c r="AP42" s="137">
        <v>0</v>
      </c>
      <c r="AR42" s="137">
        <f t="shared" si="25"/>
        <v>1.2</v>
      </c>
      <c r="AT42" s="137">
        <f t="shared" si="8"/>
        <v>2.8695652173913042</v>
      </c>
      <c r="AU42" s="137">
        <f t="shared" si="9"/>
        <v>22.956521739130434</v>
      </c>
      <c r="AW42" s="114">
        <f t="shared" si="10"/>
        <v>2800</v>
      </c>
      <c r="AX42" s="114">
        <f t="shared" si="11"/>
        <v>7500</v>
      </c>
      <c r="AY42" s="114">
        <f t="shared" si="12"/>
        <v>2500</v>
      </c>
      <c r="BA42" s="137">
        <f t="shared" si="13"/>
        <v>0.79710144927536231</v>
      </c>
    </row>
    <row r="43" spans="1:53" ht="28.8">
      <c r="A43" s="130" t="s">
        <v>89</v>
      </c>
      <c r="B43" s="168" t="s">
        <v>98</v>
      </c>
      <c r="C43" s="114" t="s">
        <v>99</v>
      </c>
      <c r="D43" s="114">
        <f t="shared" si="32"/>
        <v>276</v>
      </c>
      <c r="E43" s="114">
        <f t="shared" si="33"/>
        <v>69</v>
      </c>
      <c r="F43" s="114">
        <v>10</v>
      </c>
      <c r="G43" s="114" t="s">
        <v>94</v>
      </c>
      <c r="H43" s="114">
        <v>1</v>
      </c>
      <c r="I43" s="114" t="s">
        <v>94</v>
      </c>
      <c r="J43" s="114">
        <v>5</v>
      </c>
      <c r="K43" s="114">
        <v>5</v>
      </c>
      <c r="L43" s="144">
        <f>3600/(1046*D43/(K43*110))</f>
        <v>6.85842547177654</v>
      </c>
      <c r="M43" s="139">
        <f t="shared" si="4"/>
        <v>68.584254717765404</v>
      </c>
      <c r="N43" s="145">
        <v>1720</v>
      </c>
      <c r="O43" s="145">
        <v>4</v>
      </c>
      <c r="P43" s="140">
        <f t="shared" si="5"/>
        <v>4</v>
      </c>
      <c r="Q43" s="145" t="s">
        <v>75</v>
      </c>
      <c r="R43" s="114">
        <f>29*F43/D43</f>
        <v>1.0507246376811594</v>
      </c>
      <c r="T43" s="114" t="s">
        <v>102</v>
      </c>
      <c r="U43" s="142">
        <v>2</v>
      </c>
      <c r="W43" s="142">
        <v>2</v>
      </c>
      <c r="Y43" s="142">
        <v>1</v>
      </c>
      <c r="AA43" s="114">
        <f t="shared" si="14"/>
        <v>0.28894426495004116</v>
      </c>
      <c r="AC43" s="114">
        <v>0.09</v>
      </c>
      <c r="AD43" s="114">
        <v>0.05</v>
      </c>
      <c r="AE43" s="114">
        <v>0.01</v>
      </c>
      <c r="AF43" s="137">
        <f t="shared" si="30"/>
        <v>1.7599999999999998</v>
      </c>
      <c r="AG43" s="137"/>
      <c r="AH43" s="137">
        <f t="shared" si="24"/>
        <v>0.31999999999999995</v>
      </c>
      <c r="AI43" s="137"/>
      <c r="AJ43" s="137">
        <f t="shared" si="7"/>
        <v>0.31999999999999995</v>
      </c>
      <c r="AK43" s="137"/>
      <c r="AL43" s="114">
        <v>0.08</v>
      </c>
      <c r="AM43" s="114">
        <v>0.05</v>
      </c>
      <c r="AN43" s="114">
        <v>0.26</v>
      </c>
      <c r="AO43" s="114">
        <v>7.0000000000000007E-2</v>
      </c>
      <c r="AP43" s="114">
        <v>0.01</v>
      </c>
      <c r="AR43" s="137">
        <f t="shared" si="25"/>
        <v>0</v>
      </c>
      <c r="AT43" s="137">
        <f t="shared" si="8"/>
        <v>2.8695652173913042</v>
      </c>
      <c r="AU43" s="137">
        <f t="shared" si="9"/>
        <v>22.956521739130434</v>
      </c>
      <c r="AW43" s="114">
        <f t="shared" si="10"/>
        <v>2800</v>
      </c>
      <c r="AX43" s="114">
        <f t="shared" si="11"/>
        <v>7500</v>
      </c>
      <c r="AY43" s="114">
        <f t="shared" si="12"/>
        <v>2500</v>
      </c>
      <c r="BA43" s="137">
        <f t="shared" si="13"/>
        <v>0.79710144927536231</v>
      </c>
    </row>
    <row r="44" spans="1:53" ht="28.8">
      <c r="A44" s="130" t="s">
        <v>89</v>
      </c>
      <c r="B44" s="168" t="s">
        <v>98</v>
      </c>
      <c r="C44" s="114" t="s">
        <v>99</v>
      </c>
      <c r="D44" s="114">
        <f t="shared" si="32"/>
        <v>276</v>
      </c>
      <c r="E44" s="114">
        <f t="shared" si="33"/>
        <v>69</v>
      </c>
      <c r="F44" s="114">
        <v>10</v>
      </c>
      <c r="G44" s="114" t="s">
        <v>94</v>
      </c>
      <c r="H44" s="114">
        <v>1</v>
      </c>
      <c r="I44" s="114" t="s">
        <v>94</v>
      </c>
      <c r="J44" s="114">
        <v>5</v>
      </c>
      <c r="K44" s="114">
        <v>5</v>
      </c>
      <c r="L44" s="144">
        <f>3600/(1046*D44/(K44*110))</f>
        <v>6.85842547177654</v>
      </c>
      <c r="M44" s="139">
        <f t="shared" si="4"/>
        <v>68.584254717765404</v>
      </c>
      <c r="N44" s="145">
        <v>1720</v>
      </c>
      <c r="O44" s="145">
        <v>4</v>
      </c>
      <c r="P44" s="140">
        <f>ROUND(D44*L44/430, 0)</f>
        <v>4</v>
      </c>
      <c r="Q44" s="145" t="s">
        <v>83</v>
      </c>
      <c r="R44" s="114">
        <f t="shared" si="26"/>
        <v>1.0507246376811594</v>
      </c>
      <c r="V44" s="138">
        <v>2</v>
      </c>
      <c r="X44" s="138">
        <v>2</v>
      </c>
      <c r="Z44" s="138">
        <v>1</v>
      </c>
      <c r="AA44" s="114">
        <f t="shared" si="14"/>
        <v>0.28894426495004116</v>
      </c>
      <c r="AC44" s="114">
        <v>0.03</v>
      </c>
      <c r="AD44" s="137">
        <v>0.02</v>
      </c>
      <c r="AE44" s="137">
        <v>0</v>
      </c>
      <c r="AF44" s="137"/>
      <c r="AG44" s="137">
        <f t="shared" si="31"/>
        <v>0.43999999999999995</v>
      </c>
      <c r="AH44" s="137"/>
      <c r="AI44" s="137">
        <f t="shared" si="27"/>
        <v>7.9999999999999988E-2</v>
      </c>
      <c r="AJ44" s="137"/>
      <c r="AK44" s="137">
        <f t="shared" si="17"/>
        <v>7.9999999999999988E-2</v>
      </c>
      <c r="AL44" s="114">
        <v>0.03</v>
      </c>
      <c r="AM44" s="137">
        <v>0.02</v>
      </c>
      <c r="AN44" s="114">
        <v>0.11</v>
      </c>
      <c r="AO44" s="114">
        <v>0.03</v>
      </c>
      <c r="AP44" s="137">
        <v>0</v>
      </c>
      <c r="AR44" s="137">
        <f t="shared" si="25"/>
        <v>3.2</v>
      </c>
      <c r="AT44" s="137">
        <f t="shared" si="8"/>
        <v>2.8695652173913042</v>
      </c>
      <c r="AU44" s="137">
        <f t="shared" si="9"/>
        <v>22.956521739130434</v>
      </c>
      <c r="AW44" s="114">
        <f t="shared" si="10"/>
        <v>2800</v>
      </c>
      <c r="AX44" s="114">
        <f t="shared" si="11"/>
        <v>7500</v>
      </c>
      <c r="AY44" s="114">
        <f t="shared" si="12"/>
        <v>2500</v>
      </c>
      <c r="BA44" s="137">
        <f t="shared" si="13"/>
        <v>0.79710144927536231</v>
      </c>
    </row>
    <row r="45" spans="1:53" ht="28.8">
      <c r="A45" s="130" t="s">
        <v>89</v>
      </c>
      <c r="B45" s="168" t="s">
        <v>98</v>
      </c>
      <c r="C45" s="114" t="s">
        <v>99</v>
      </c>
      <c r="D45" s="114">
        <f t="shared" si="32"/>
        <v>276</v>
      </c>
      <c r="E45" s="114">
        <f t="shared" si="33"/>
        <v>69</v>
      </c>
      <c r="F45" s="114">
        <v>10</v>
      </c>
      <c r="G45" s="114" t="s">
        <v>94</v>
      </c>
      <c r="H45" s="114">
        <v>2</v>
      </c>
      <c r="I45" s="114" t="s">
        <v>94</v>
      </c>
      <c r="J45" s="114">
        <v>5</v>
      </c>
      <c r="K45" s="114">
        <v>5</v>
      </c>
      <c r="L45" s="144">
        <f>3600/(1046*D45/(K45*110))</f>
        <v>6.85842547177654</v>
      </c>
      <c r="M45" s="139">
        <f t="shared" si="4"/>
        <v>68.584254717765404</v>
      </c>
      <c r="N45" s="145">
        <v>1720</v>
      </c>
      <c r="O45" s="145">
        <v>4</v>
      </c>
      <c r="P45" s="140">
        <f t="shared" si="5"/>
        <v>4</v>
      </c>
      <c r="Q45" s="145" t="s">
        <v>75</v>
      </c>
      <c r="R45" s="114">
        <f t="shared" si="26"/>
        <v>1.0507246376811594</v>
      </c>
      <c r="U45" s="142">
        <v>4</v>
      </c>
      <c r="W45" s="142">
        <v>0</v>
      </c>
      <c r="Y45" s="142">
        <v>2</v>
      </c>
      <c r="AA45" s="114">
        <f t="shared" si="14"/>
        <v>5.8220113086948605E-2</v>
      </c>
      <c r="AC45" s="114">
        <v>0.14000000000000001</v>
      </c>
      <c r="AD45" s="137">
        <v>0.08</v>
      </c>
      <c r="AE45" s="137">
        <v>0.02</v>
      </c>
      <c r="AF45" s="137">
        <f t="shared" si="30"/>
        <v>5.2800000000000011</v>
      </c>
      <c r="AG45" s="137"/>
      <c r="AH45" s="137">
        <f t="shared" si="24"/>
        <v>0</v>
      </c>
      <c r="AI45" s="137"/>
      <c r="AJ45" s="137">
        <f t="shared" si="7"/>
        <v>0.96000000000000019</v>
      </c>
      <c r="AK45" s="137"/>
      <c r="AL45" s="114">
        <v>0.13</v>
      </c>
      <c r="AM45" s="114">
        <v>0.08</v>
      </c>
      <c r="AN45" s="114">
        <v>0.36</v>
      </c>
      <c r="AO45" s="114">
        <v>0.12</v>
      </c>
      <c r="AP45" s="114">
        <v>0.02</v>
      </c>
      <c r="AR45" s="137">
        <f t="shared" si="25"/>
        <v>0</v>
      </c>
      <c r="AT45" s="137">
        <f t="shared" si="8"/>
        <v>2.8695652173913042</v>
      </c>
      <c r="AU45" s="137">
        <f t="shared" si="9"/>
        <v>22.956521739130434</v>
      </c>
      <c r="AW45" s="114">
        <f t="shared" si="10"/>
        <v>2800</v>
      </c>
      <c r="AX45" s="114">
        <f t="shared" si="11"/>
        <v>7500</v>
      </c>
      <c r="AY45" s="114">
        <f t="shared" si="12"/>
        <v>2500</v>
      </c>
      <c r="BA45" s="137">
        <f t="shared" si="13"/>
        <v>0.79710144927536231</v>
      </c>
    </row>
    <row r="46" spans="1:53" s="15" customFormat="1" ht="29.4" thickBot="1">
      <c r="A46" s="131" t="s">
        <v>89</v>
      </c>
      <c r="B46" s="169" t="s">
        <v>98</v>
      </c>
      <c r="C46" s="152" t="s">
        <v>99</v>
      </c>
      <c r="D46" s="152">
        <f t="shared" si="32"/>
        <v>276</v>
      </c>
      <c r="E46" s="152">
        <f t="shared" si="33"/>
        <v>69</v>
      </c>
      <c r="F46" s="152">
        <v>10</v>
      </c>
      <c r="G46" s="152" t="s">
        <v>94</v>
      </c>
      <c r="H46" s="152">
        <v>2</v>
      </c>
      <c r="I46" s="152" t="s">
        <v>94</v>
      </c>
      <c r="J46" s="152">
        <v>5</v>
      </c>
      <c r="K46" s="152">
        <v>5</v>
      </c>
      <c r="L46" s="160">
        <f>3600/(1046*D46/(K46*110))</f>
        <v>6.85842547177654</v>
      </c>
      <c r="M46" s="161">
        <f t="shared" si="4"/>
        <v>68.584254717765404</v>
      </c>
      <c r="N46" s="162">
        <v>1720</v>
      </c>
      <c r="O46" s="162">
        <v>4</v>
      </c>
      <c r="P46" s="163">
        <f t="shared" si="5"/>
        <v>4</v>
      </c>
      <c r="Q46" s="162" t="s">
        <v>83</v>
      </c>
      <c r="R46" s="152">
        <f>29*F46/D46</f>
        <v>1.0507246376811594</v>
      </c>
      <c r="S46" s="152"/>
      <c r="T46" s="152"/>
      <c r="U46" s="152"/>
      <c r="V46" s="167">
        <v>4</v>
      </c>
      <c r="W46" s="152"/>
      <c r="X46" s="167">
        <v>0</v>
      </c>
      <c r="Y46" s="152"/>
      <c r="Z46" s="167">
        <v>2</v>
      </c>
      <c r="AA46" s="152">
        <f t="shared" si="14"/>
        <v>5.8220113086948605E-2</v>
      </c>
      <c r="AB46" s="152"/>
      <c r="AC46" s="152">
        <v>0.06</v>
      </c>
      <c r="AD46" s="164">
        <v>0.03</v>
      </c>
      <c r="AE46" s="164">
        <v>0.01</v>
      </c>
      <c r="AF46" s="164"/>
      <c r="AG46" s="164">
        <f t="shared" si="31"/>
        <v>2.6399999999999997</v>
      </c>
      <c r="AH46" s="164"/>
      <c r="AI46" s="164">
        <f t="shared" si="27"/>
        <v>0</v>
      </c>
      <c r="AJ46" s="164"/>
      <c r="AK46" s="164">
        <f t="shared" si="17"/>
        <v>0.48</v>
      </c>
      <c r="AL46" s="152">
        <v>0.05</v>
      </c>
      <c r="AM46" s="164">
        <v>0.03</v>
      </c>
      <c r="AN46" s="152">
        <v>0.18</v>
      </c>
      <c r="AO46" s="152">
        <v>0.05</v>
      </c>
      <c r="AP46" s="152">
        <v>0.01</v>
      </c>
      <c r="AQ46" s="152"/>
      <c r="AR46" s="164">
        <f t="shared" si="25"/>
        <v>10.4</v>
      </c>
      <c r="AS46" s="152"/>
      <c r="AT46" s="164">
        <f t="shared" si="8"/>
        <v>2.8695652173913042</v>
      </c>
      <c r="AU46" s="164">
        <f t="shared" si="9"/>
        <v>22.956521739130434</v>
      </c>
      <c r="AV46" s="152"/>
      <c r="AW46" s="152">
        <f t="shared" si="10"/>
        <v>2800</v>
      </c>
      <c r="AX46" s="152">
        <f t="shared" si="11"/>
        <v>7500</v>
      </c>
      <c r="AY46" s="152">
        <f t="shared" si="12"/>
        <v>2500</v>
      </c>
      <c r="AZ46" s="152"/>
      <c r="BA46" s="137">
        <f t="shared" si="13"/>
        <v>0.79710144927536231</v>
      </c>
    </row>
    <row r="47" spans="1:53" ht="28.8">
      <c r="A47" s="130" t="s">
        <v>75</v>
      </c>
      <c r="B47" s="170" t="s">
        <v>103</v>
      </c>
      <c r="C47" s="114" t="s">
        <v>49</v>
      </c>
      <c r="D47" s="171">
        <f>23.64*2.71</f>
        <v>64.064400000000006</v>
      </c>
      <c r="E47" s="171">
        <v>23.64</v>
      </c>
      <c r="F47" s="114">
        <v>3</v>
      </c>
      <c r="G47" s="114" t="s">
        <v>104</v>
      </c>
      <c r="H47" s="114">
        <v>1</v>
      </c>
      <c r="I47" s="114" t="s">
        <v>104</v>
      </c>
      <c r="J47" s="114">
        <v>5</v>
      </c>
      <c r="K47" s="114">
        <v>1</v>
      </c>
      <c r="L47" s="144">
        <f t="shared" ref="L47:L48" si="35">3600/(1046*D47/(K47*110))</f>
        <v>5.9094455897825453</v>
      </c>
      <c r="M47" s="139">
        <f t="shared" si="4"/>
        <v>59.094455897825455</v>
      </c>
      <c r="N47" s="145">
        <v>430</v>
      </c>
      <c r="O47" s="145">
        <v>1</v>
      </c>
      <c r="P47" s="140">
        <f>ROUND(D47*L47/430, 0)</f>
        <v>1</v>
      </c>
      <c r="Q47" s="145" t="s">
        <v>105</v>
      </c>
      <c r="R47" s="114" t="s">
        <v>106</v>
      </c>
      <c r="T47" s="114" t="s">
        <v>92</v>
      </c>
      <c r="U47" s="142">
        <v>0.25</v>
      </c>
      <c r="W47" s="142">
        <v>0.1</v>
      </c>
      <c r="Y47" s="142">
        <v>0.15</v>
      </c>
      <c r="AA47" s="114">
        <f t="shared" si="14"/>
        <v>0.11778717201166181</v>
      </c>
      <c r="AC47" s="114">
        <v>0.15</v>
      </c>
      <c r="AD47" s="114">
        <v>0.11</v>
      </c>
      <c r="AE47" s="114">
        <v>0.03</v>
      </c>
      <c r="AF47" s="137">
        <f t="shared" si="30"/>
        <v>0.21999999999999997</v>
      </c>
      <c r="AG47" s="137"/>
      <c r="AH47" s="137">
        <f t="shared" si="24"/>
        <v>1.5999999999999997E-2</v>
      </c>
      <c r="AI47" s="137"/>
      <c r="AJ47" s="137">
        <f t="shared" si="7"/>
        <v>4.7999999999999994E-2</v>
      </c>
      <c r="AK47" s="137"/>
      <c r="AL47" s="114">
        <v>0.13</v>
      </c>
      <c r="AM47" s="137">
        <v>0.1</v>
      </c>
      <c r="AN47" s="114">
        <v>0.31</v>
      </c>
      <c r="AO47" s="137">
        <v>0.14000000000000001</v>
      </c>
      <c r="AP47" s="137">
        <v>0.03</v>
      </c>
      <c r="AR47" s="137">
        <f t="shared" si="25"/>
        <v>0</v>
      </c>
      <c r="AT47" s="137">
        <f t="shared" si="8"/>
        <v>1.6751269035532994</v>
      </c>
      <c r="AU47" s="172">
        <f t="shared" si="9"/>
        <v>13.401015228426395</v>
      </c>
      <c r="AW47" s="114">
        <f t="shared" si="10"/>
        <v>700</v>
      </c>
      <c r="AX47" s="114">
        <f t="shared" si="11"/>
        <v>1500</v>
      </c>
      <c r="AY47" s="114">
        <f t="shared" si="12"/>
        <v>500</v>
      </c>
      <c r="BA47" s="137">
        <f t="shared" si="13"/>
        <v>0.4653130287648054</v>
      </c>
    </row>
    <row r="48" spans="1:53" ht="15" thickBot="1">
      <c r="A48" s="130" t="s">
        <v>75</v>
      </c>
      <c r="B48" s="170" t="s">
        <v>103</v>
      </c>
      <c r="C48" s="114" t="s">
        <v>49</v>
      </c>
      <c r="D48" s="171">
        <f>23.64*2.71</f>
        <v>64.064400000000006</v>
      </c>
      <c r="E48" s="171">
        <v>23.64</v>
      </c>
      <c r="F48" s="114">
        <v>3</v>
      </c>
      <c r="G48" s="114" t="s">
        <v>104</v>
      </c>
      <c r="H48" s="114">
        <v>1</v>
      </c>
      <c r="I48" s="114" t="s">
        <v>107</v>
      </c>
      <c r="J48" s="114">
        <v>5</v>
      </c>
      <c r="K48" s="114">
        <v>1</v>
      </c>
      <c r="L48" s="144">
        <f t="shared" si="35"/>
        <v>5.9094455897825453</v>
      </c>
      <c r="M48" s="139">
        <f t="shared" si="4"/>
        <v>59.094455897825455</v>
      </c>
      <c r="N48" s="145">
        <v>430</v>
      </c>
      <c r="O48" s="145">
        <v>1</v>
      </c>
      <c r="P48" s="140">
        <f t="shared" si="5"/>
        <v>1</v>
      </c>
      <c r="Q48" s="145" t="s">
        <v>105</v>
      </c>
      <c r="R48" s="114">
        <f>29*F48/D48</f>
        <v>1.3580085039429073</v>
      </c>
      <c r="T48" s="114" t="s">
        <v>108</v>
      </c>
      <c r="U48" s="153">
        <v>0.25</v>
      </c>
      <c r="V48" s="152"/>
      <c r="W48" s="153">
        <v>0.1</v>
      </c>
      <c r="X48" s="152"/>
      <c r="Y48" s="153">
        <v>0.15</v>
      </c>
      <c r="Z48" s="152"/>
      <c r="AA48" s="114">
        <f t="shared" si="14"/>
        <v>0.11778717201166181</v>
      </c>
      <c r="AC48" s="114">
        <v>0.11</v>
      </c>
      <c r="AD48" s="114">
        <v>7.0000000000000007E-2</v>
      </c>
      <c r="AE48" s="114">
        <v>0.02</v>
      </c>
      <c r="AF48" s="137">
        <f t="shared" si="30"/>
        <v>0.21999999999999997</v>
      </c>
      <c r="AG48" s="137"/>
      <c r="AH48" s="137">
        <f t="shared" si="24"/>
        <v>1.5999999999999997E-2</v>
      </c>
      <c r="AI48" s="137"/>
      <c r="AJ48" s="137">
        <f t="shared" si="7"/>
        <v>4.7999999999999994E-2</v>
      </c>
      <c r="AK48" s="137"/>
      <c r="AL48" s="114">
        <v>0.09</v>
      </c>
      <c r="AM48" s="114">
        <v>7.0000000000000007E-2</v>
      </c>
      <c r="AN48" s="114">
        <v>0.25</v>
      </c>
      <c r="AO48" s="137">
        <v>0.1</v>
      </c>
      <c r="AP48" s="137">
        <v>0.02</v>
      </c>
      <c r="AR48" s="137">
        <f t="shared" si="25"/>
        <v>0</v>
      </c>
      <c r="AT48" s="137">
        <f t="shared" si="8"/>
        <v>1.6751269035532994</v>
      </c>
      <c r="AU48" s="137">
        <f t="shared" si="9"/>
        <v>13.401015228426395</v>
      </c>
      <c r="AW48" s="114">
        <f t="shared" si="10"/>
        <v>700</v>
      </c>
      <c r="AX48" s="114">
        <f t="shared" si="11"/>
        <v>1500</v>
      </c>
      <c r="AY48" s="114">
        <f t="shared" si="12"/>
        <v>500</v>
      </c>
      <c r="BA48" s="137">
        <f t="shared" si="13"/>
        <v>0.4653130287648054</v>
      </c>
    </row>
    <row r="49" spans="1:53" ht="28.8">
      <c r="A49" s="130" t="s">
        <v>75</v>
      </c>
      <c r="B49" s="170" t="s">
        <v>109</v>
      </c>
      <c r="C49" s="114" t="s">
        <v>49</v>
      </c>
      <c r="D49" s="171">
        <f t="shared" ref="D49:D52" si="36">E49*2.71</f>
        <v>289.428</v>
      </c>
      <c r="E49" s="171">
        <v>106.8</v>
      </c>
      <c r="F49" s="114">
        <v>20</v>
      </c>
      <c r="G49" s="114" t="s">
        <v>104</v>
      </c>
      <c r="H49" s="114">
        <v>1</v>
      </c>
      <c r="I49" s="114" t="s">
        <v>104</v>
      </c>
      <c r="J49" s="114">
        <v>5</v>
      </c>
      <c r="K49" s="114">
        <v>8</v>
      </c>
      <c r="L49" s="144">
        <f t="shared" si="28"/>
        <v>10.464366572468869</v>
      </c>
      <c r="M49" s="139">
        <f t="shared" si="4"/>
        <v>104.64366572468869</v>
      </c>
      <c r="N49" s="145">
        <v>1720</v>
      </c>
      <c r="O49" s="145">
        <v>4</v>
      </c>
      <c r="P49" s="140">
        <f t="shared" si="5"/>
        <v>7</v>
      </c>
      <c r="Q49" s="145" t="s">
        <v>105</v>
      </c>
      <c r="R49" s="114" t="s">
        <v>106</v>
      </c>
      <c r="T49" s="114" t="s">
        <v>110</v>
      </c>
      <c r="U49" s="142">
        <v>1</v>
      </c>
      <c r="W49" s="173">
        <v>1</v>
      </c>
      <c r="Y49" s="142">
        <v>1</v>
      </c>
      <c r="AA49" s="114">
        <f t="shared" si="14"/>
        <v>0.37291658750558737</v>
      </c>
      <c r="AC49" s="114">
        <v>0.59</v>
      </c>
      <c r="AD49" s="114">
        <v>0.27</v>
      </c>
      <c r="AE49" s="114">
        <v>0.05</v>
      </c>
      <c r="AF49" s="137">
        <f t="shared" si="30"/>
        <v>7.0399999999999991</v>
      </c>
      <c r="AG49" s="137"/>
      <c r="AH49" s="137">
        <f t="shared" si="24"/>
        <v>1.2799999999999998</v>
      </c>
      <c r="AI49" s="137"/>
      <c r="AJ49" s="137">
        <f t="shared" si="7"/>
        <v>2.5599999999999996</v>
      </c>
      <c r="AK49" s="137"/>
      <c r="AL49" s="114">
        <v>0.53</v>
      </c>
      <c r="AM49" s="114">
        <v>0.36</v>
      </c>
      <c r="AN49" s="114">
        <v>1.56</v>
      </c>
      <c r="AO49" s="114">
        <v>0.37</v>
      </c>
      <c r="AP49" s="114">
        <v>0.05</v>
      </c>
      <c r="AR49" s="137">
        <f t="shared" si="25"/>
        <v>0</v>
      </c>
      <c r="AT49" s="137">
        <f t="shared" si="8"/>
        <v>2.9662921348314608</v>
      </c>
      <c r="AU49" s="137">
        <f t="shared" si="9"/>
        <v>23.730337078651687</v>
      </c>
      <c r="AW49" s="114">
        <f t="shared" si="10"/>
        <v>2800</v>
      </c>
      <c r="AX49" s="114">
        <f t="shared" si="11"/>
        <v>12000</v>
      </c>
      <c r="AY49" s="114">
        <f t="shared" si="12"/>
        <v>4000</v>
      </c>
      <c r="BA49" s="137">
        <f t="shared" si="13"/>
        <v>0.82397003745318365</v>
      </c>
    </row>
    <row r="50" spans="1:53">
      <c r="A50" s="130" t="s">
        <v>75</v>
      </c>
      <c r="B50" s="170" t="s">
        <v>109</v>
      </c>
      <c r="C50" s="114" t="s">
        <v>49</v>
      </c>
      <c r="D50" s="171">
        <f t="shared" si="36"/>
        <v>289.428</v>
      </c>
      <c r="E50" s="171">
        <v>106.8</v>
      </c>
      <c r="F50" s="114">
        <v>20</v>
      </c>
      <c r="G50" s="114" t="s">
        <v>104</v>
      </c>
      <c r="H50" s="114">
        <v>2</v>
      </c>
      <c r="I50" s="114" t="s">
        <v>104</v>
      </c>
      <c r="J50" s="114">
        <v>5</v>
      </c>
      <c r="K50" s="114">
        <v>8</v>
      </c>
      <c r="L50" s="144">
        <f t="shared" ref="L50" si="37">3600/(1046*D50/(K50*110))</f>
        <v>10.464366572468869</v>
      </c>
      <c r="M50" s="139">
        <f t="shared" si="4"/>
        <v>104.64366572468869</v>
      </c>
      <c r="N50" s="145">
        <v>1720</v>
      </c>
      <c r="O50" s="145">
        <v>4</v>
      </c>
      <c r="P50" s="140">
        <f t="shared" si="5"/>
        <v>7</v>
      </c>
      <c r="Q50" s="145" t="s">
        <v>105</v>
      </c>
      <c r="R50" s="114">
        <f>29*F50/D50</f>
        <v>2.0039526237959011</v>
      </c>
      <c r="T50" s="114" t="s">
        <v>111</v>
      </c>
      <c r="U50" s="142">
        <v>1</v>
      </c>
      <c r="W50" s="142">
        <v>0</v>
      </c>
      <c r="Y50" s="142">
        <v>0</v>
      </c>
      <c r="AA50" s="114">
        <f t="shared" si="14"/>
        <v>0.15862869767028723</v>
      </c>
      <c r="AC50" s="114">
        <v>0.88</v>
      </c>
      <c r="AD50" s="114">
        <v>0.46</v>
      </c>
      <c r="AE50" s="114">
        <v>0.09</v>
      </c>
      <c r="AF50" s="137">
        <f>(AC50-AD50)*U50*22</f>
        <v>9.24</v>
      </c>
      <c r="AG50" s="137"/>
      <c r="AH50" s="137">
        <f>(AC50-AD50)*W50*4</f>
        <v>0</v>
      </c>
      <c r="AI50" s="137"/>
      <c r="AJ50" s="137">
        <f t="shared" si="7"/>
        <v>0</v>
      </c>
      <c r="AK50" s="137"/>
      <c r="AL50" s="114">
        <v>0.79</v>
      </c>
      <c r="AM50" s="114">
        <v>0.57999999999999996</v>
      </c>
      <c r="AN50" s="114">
        <v>2.02</v>
      </c>
      <c r="AO50" s="114">
        <v>0.57999999999999996</v>
      </c>
      <c r="AP50" s="137">
        <v>0.1</v>
      </c>
      <c r="AR50" s="137">
        <f t="shared" si="25"/>
        <v>0</v>
      </c>
      <c r="AT50" s="137">
        <f t="shared" si="8"/>
        <v>2.9662921348314608</v>
      </c>
      <c r="AU50" s="137">
        <f t="shared" si="9"/>
        <v>23.730337078651687</v>
      </c>
      <c r="AW50" s="114">
        <f t="shared" si="10"/>
        <v>2800</v>
      </c>
      <c r="AX50" s="114">
        <f t="shared" si="11"/>
        <v>12000</v>
      </c>
      <c r="AY50" s="114">
        <f t="shared" si="12"/>
        <v>4000</v>
      </c>
      <c r="BA50" s="137">
        <f t="shared" si="13"/>
        <v>0.82397003745318365</v>
      </c>
    </row>
    <row r="51" spans="1:53" ht="15" thickBot="1">
      <c r="A51" s="130" t="s">
        <v>75</v>
      </c>
      <c r="B51" s="170" t="s">
        <v>109</v>
      </c>
      <c r="C51" s="114" t="s">
        <v>49</v>
      </c>
      <c r="D51" s="171">
        <f t="shared" si="36"/>
        <v>289.428</v>
      </c>
      <c r="E51" s="171">
        <v>106.8</v>
      </c>
      <c r="F51" s="114">
        <v>15</v>
      </c>
      <c r="G51" s="114" t="s">
        <v>104</v>
      </c>
      <c r="H51" s="114">
        <v>1</v>
      </c>
      <c r="I51" s="114" t="s">
        <v>104</v>
      </c>
      <c r="J51" s="114">
        <v>5</v>
      </c>
      <c r="K51" s="114">
        <v>8</v>
      </c>
      <c r="L51" s="144">
        <f t="shared" ref="L51" si="38">3600/(1046*D51/(K51*110))</f>
        <v>10.464366572468869</v>
      </c>
      <c r="M51" s="139">
        <f t="shared" si="4"/>
        <v>104.64366572468869</v>
      </c>
      <c r="N51" s="145">
        <v>1720</v>
      </c>
      <c r="O51" s="145">
        <v>4</v>
      </c>
      <c r="P51" s="140">
        <f t="shared" si="5"/>
        <v>7</v>
      </c>
      <c r="Q51" s="145" t="s">
        <v>105</v>
      </c>
      <c r="R51" s="114">
        <f>29*F51/D51</f>
        <v>1.5029644678469256</v>
      </c>
      <c r="U51" s="153">
        <v>1</v>
      </c>
      <c r="V51" s="152"/>
      <c r="W51" s="153">
        <v>0</v>
      </c>
      <c r="X51" s="152"/>
      <c r="Y51" s="153">
        <v>1</v>
      </c>
      <c r="Z51" s="152"/>
      <c r="AA51" s="114">
        <f t="shared" si="14"/>
        <v>0.34816823939374431</v>
      </c>
      <c r="AC51" s="114">
        <v>0.43</v>
      </c>
      <c r="AD51" s="137">
        <v>0.21</v>
      </c>
      <c r="AE51" s="137">
        <v>0.04</v>
      </c>
      <c r="AF51" s="137">
        <f>(AC51-AD51)*U51*22</f>
        <v>4.84</v>
      </c>
      <c r="AG51" s="137"/>
      <c r="AH51" s="137">
        <f>(AC51-AD51)*W51*4</f>
        <v>0</v>
      </c>
      <c r="AI51" s="137"/>
      <c r="AJ51" s="137">
        <f t="shared" si="7"/>
        <v>1.76</v>
      </c>
      <c r="AK51" s="137"/>
      <c r="AL51" s="137">
        <v>0.39</v>
      </c>
      <c r="AM51" s="114">
        <v>0.26</v>
      </c>
      <c r="AN51" s="114">
        <v>1.1599999999999999</v>
      </c>
      <c r="AO51" s="114">
        <v>0.27</v>
      </c>
      <c r="AP51" s="114">
        <v>0.04</v>
      </c>
      <c r="AR51" s="137">
        <f t="shared" si="25"/>
        <v>0</v>
      </c>
      <c r="AT51" s="137">
        <f t="shared" si="8"/>
        <v>2.9662921348314608</v>
      </c>
      <c r="AU51" s="137">
        <f t="shared" si="9"/>
        <v>23.730337078651687</v>
      </c>
      <c r="AW51" s="114">
        <f t="shared" si="10"/>
        <v>2800</v>
      </c>
      <c r="AX51" s="114">
        <f t="shared" si="11"/>
        <v>12000</v>
      </c>
      <c r="AY51" s="114">
        <f t="shared" si="12"/>
        <v>4000</v>
      </c>
      <c r="BA51" s="137">
        <f t="shared" si="13"/>
        <v>0.82397003745318365</v>
      </c>
    </row>
    <row r="52" spans="1:53" ht="28.8">
      <c r="A52" s="130" t="s">
        <v>75</v>
      </c>
      <c r="B52" s="170" t="s">
        <v>112</v>
      </c>
      <c r="C52" s="114" t="s">
        <v>49</v>
      </c>
      <c r="D52" s="171">
        <f t="shared" si="36"/>
        <v>136.85499999999999</v>
      </c>
      <c r="E52" s="114">
        <v>50.5</v>
      </c>
      <c r="F52" s="114">
        <v>8</v>
      </c>
      <c r="G52" s="114" t="s">
        <v>104</v>
      </c>
      <c r="H52" s="114">
        <v>1</v>
      </c>
      <c r="I52" s="114" t="s">
        <v>104</v>
      </c>
      <c r="J52" s="114">
        <v>5</v>
      </c>
      <c r="K52" s="114">
        <v>3</v>
      </c>
      <c r="L52" s="137">
        <f>3600/(1046*D52/(K52*110))</f>
        <v>8.2989679450965994</v>
      </c>
      <c r="M52" s="139">
        <f t="shared" si="4"/>
        <v>82.989679450965994</v>
      </c>
      <c r="N52" s="114">
        <f>O52*430</f>
        <v>860</v>
      </c>
      <c r="O52" s="114">
        <v>2</v>
      </c>
      <c r="P52" s="140">
        <f t="shared" si="5"/>
        <v>3</v>
      </c>
      <c r="Q52" s="114" t="s">
        <v>75</v>
      </c>
      <c r="R52" s="114">
        <f>29*F52/D52</f>
        <v>1.6952248730408097</v>
      </c>
      <c r="T52" s="114" t="s">
        <v>113</v>
      </c>
      <c r="U52" s="142">
        <v>1.5</v>
      </c>
      <c r="W52" s="142">
        <v>0.5</v>
      </c>
      <c r="Y52" s="142">
        <v>1</v>
      </c>
      <c r="AA52" s="114">
        <f>_xlfn.BINOM.DIST(H52,F52,$U$2, FALSE)</f>
        <v>0.25231934029943437</v>
      </c>
      <c r="AC52" s="114">
        <v>0.35</v>
      </c>
      <c r="AD52" s="137">
        <v>0.2</v>
      </c>
      <c r="AE52" s="137">
        <v>0.05</v>
      </c>
      <c r="AF52" s="137">
        <f t="shared" si="30"/>
        <v>4.9499999999999993</v>
      </c>
      <c r="AG52" s="137"/>
      <c r="AH52" s="137">
        <f t="shared" si="24"/>
        <v>0.29999999999999993</v>
      </c>
      <c r="AI52" s="137"/>
      <c r="AJ52" s="137">
        <f t="shared" si="7"/>
        <v>1.1999999999999997</v>
      </c>
      <c r="AK52" s="137"/>
      <c r="AL52" s="114">
        <v>0.32</v>
      </c>
      <c r="AM52" s="114">
        <v>0.23</v>
      </c>
      <c r="AN52" s="114">
        <v>0.81</v>
      </c>
      <c r="AO52" s="114">
        <v>0.27</v>
      </c>
      <c r="AP52" s="114">
        <v>0.05</v>
      </c>
      <c r="AR52" s="137">
        <f t="shared" si="25"/>
        <v>0</v>
      </c>
      <c r="AT52" s="137">
        <f t="shared" si="8"/>
        <v>2.3524752475247523</v>
      </c>
      <c r="AU52" s="137">
        <f t="shared" si="9"/>
        <v>18.819801980198019</v>
      </c>
      <c r="AW52" s="114">
        <f t="shared" si="10"/>
        <v>1400</v>
      </c>
      <c r="AX52" s="114">
        <f t="shared" si="11"/>
        <v>4500</v>
      </c>
      <c r="AY52" s="114">
        <f t="shared" si="12"/>
        <v>1500</v>
      </c>
      <c r="BA52" s="137">
        <f t="shared" si="13"/>
        <v>0.65346534653465338</v>
      </c>
    </row>
    <row r="54" spans="1:53">
      <c r="A54" s="119" t="s">
        <v>114</v>
      </c>
    </row>
    <row r="56" spans="1:53" ht="15" customHeight="1">
      <c r="E56" s="89" t="s">
        <v>115</v>
      </c>
      <c r="I56" s="89" t="s">
        <v>116</v>
      </c>
    </row>
    <row r="57" spans="1:53">
      <c r="A57" s="89" t="s">
        <v>117</v>
      </c>
      <c r="E57" s="114">
        <v>0.06</v>
      </c>
      <c r="F57" s="89" t="s">
        <v>118</v>
      </c>
      <c r="I57" s="114">
        <v>22</v>
      </c>
      <c r="J57" s="114" t="s">
        <v>119</v>
      </c>
      <c r="K57" s="89" t="s">
        <v>118</v>
      </c>
    </row>
    <row r="58" spans="1:53">
      <c r="A58" s="89" t="s">
        <v>120</v>
      </c>
      <c r="E58" s="89" t="s">
        <v>121</v>
      </c>
      <c r="I58" s="89" t="s">
        <v>122</v>
      </c>
    </row>
    <row r="59" spans="1:53">
      <c r="A59" s="89" t="s">
        <v>123</v>
      </c>
      <c r="E59" s="114">
        <v>1.4999999999999999E-2</v>
      </c>
      <c r="F59" s="89" t="s">
        <v>124</v>
      </c>
      <c r="I59" s="114">
        <v>4</v>
      </c>
      <c r="J59" s="114" t="s">
        <v>119</v>
      </c>
      <c r="K59" s="89" t="s">
        <v>125</v>
      </c>
    </row>
    <row r="60" spans="1:53" ht="57.6">
      <c r="A60" s="89" t="s">
        <v>126</v>
      </c>
      <c r="I60" s="114" t="s">
        <v>127</v>
      </c>
    </row>
    <row r="61" spans="1:53">
      <c r="A61" s="89" t="s">
        <v>128</v>
      </c>
      <c r="E61" s="89" t="s">
        <v>129</v>
      </c>
      <c r="I61" s="114">
        <v>8</v>
      </c>
      <c r="J61" s="114" t="s">
        <v>119</v>
      </c>
    </row>
    <row r="62" spans="1:53" ht="58.05" customHeight="1">
      <c r="A62" s="114" t="s">
        <v>130</v>
      </c>
      <c r="B62" s="114" t="s">
        <v>131</v>
      </c>
      <c r="C62" s="114" t="s">
        <v>132</v>
      </c>
      <c r="E62" s="114">
        <v>5</v>
      </c>
      <c r="F62" s="114" t="s">
        <v>133</v>
      </c>
    </row>
    <row r="63" spans="1:53" ht="15" customHeight="1">
      <c r="B63" s="114" t="s">
        <v>134</v>
      </c>
    </row>
    <row r="66" spans="1:17">
      <c r="A66" s="115" t="s">
        <v>135</v>
      </c>
    </row>
    <row r="67" spans="1:17">
      <c r="A67" s="89" t="s">
        <v>136</v>
      </c>
    </row>
    <row r="68" spans="1:17">
      <c r="A68" s="114" t="s">
        <v>137</v>
      </c>
    </row>
    <row r="70" spans="1:17" ht="28.8">
      <c r="A70" s="114" t="s">
        <v>138</v>
      </c>
      <c r="B70" s="114" t="s">
        <v>139</v>
      </c>
    </row>
    <row r="73" spans="1:17">
      <c r="A73" s="130" t="s">
        <v>140</v>
      </c>
      <c r="B73" s="174" t="s">
        <v>141</v>
      </c>
      <c r="C73" s="114" t="s">
        <v>59</v>
      </c>
      <c r="D73" s="171">
        <v>1000</v>
      </c>
      <c r="E73" s="171">
        <v>250</v>
      </c>
      <c r="F73" s="114">
        <v>60</v>
      </c>
      <c r="G73" s="114" t="s">
        <v>74</v>
      </c>
      <c r="H73" s="114">
        <v>2</v>
      </c>
      <c r="I73" s="114" t="s">
        <v>74</v>
      </c>
      <c r="J73" s="114">
        <v>5</v>
      </c>
      <c r="K73" s="114">
        <v>4</v>
      </c>
      <c r="L73" s="144">
        <f>3600/(1046*D73/(K73*110))</f>
        <v>1.5143403441682599</v>
      </c>
      <c r="M73" s="144"/>
      <c r="N73" s="144"/>
      <c r="O73" s="144"/>
      <c r="P73" s="144"/>
      <c r="Q73" s="144"/>
    </row>
    <row r="74" spans="1:17">
      <c r="A74" s="130" t="s">
        <v>140</v>
      </c>
      <c r="B74" s="174" t="s">
        <v>142</v>
      </c>
      <c r="C74" s="114" t="s">
        <v>59</v>
      </c>
      <c r="D74" s="171">
        <v>1000</v>
      </c>
      <c r="E74" s="171">
        <v>250</v>
      </c>
      <c r="F74" s="114">
        <v>50</v>
      </c>
      <c r="G74" s="114" t="s">
        <v>66</v>
      </c>
      <c r="H74" s="114">
        <v>1</v>
      </c>
      <c r="I74" s="114" t="s">
        <v>66</v>
      </c>
      <c r="J74" s="114">
        <v>5</v>
      </c>
      <c r="K74" s="114">
        <v>4</v>
      </c>
      <c r="L74" s="144">
        <f>3600/(1046*D74/(K74*110))</f>
        <v>1.5143403441682599</v>
      </c>
      <c r="M74" s="144"/>
      <c r="N74" s="144"/>
      <c r="O74" s="144"/>
      <c r="P74" s="144"/>
      <c r="Q74" s="144"/>
    </row>
    <row r="75" spans="1:17">
      <c r="A75" s="130" t="s">
        <v>140</v>
      </c>
      <c r="B75" s="174" t="s">
        <v>143</v>
      </c>
      <c r="C75" s="114" t="s">
        <v>59</v>
      </c>
      <c r="D75" s="171">
        <v>200</v>
      </c>
      <c r="E75" s="171">
        <v>50</v>
      </c>
      <c r="F75" s="114">
        <v>20</v>
      </c>
      <c r="G75" s="114" t="s">
        <v>68</v>
      </c>
      <c r="H75" s="114">
        <v>1</v>
      </c>
      <c r="I75" s="114" t="s">
        <v>68</v>
      </c>
      <c r="J75" s="114">
        <v>5</v>
      </c>
      <c r="K75" s="114">
        <v>2</v>
      </c>
      <c r="L75" s="144">
        <f>3600/(1046*D75/(K75*110))</f>
        <v>3.7858508604206502</v>
      </c>
      <c r="M75" s="144"/>
      <c r="N75" s="144"/>
      <c r="O75" s="144"/>
      <c r="P75" s="144"/>
      <c r="Q75" s="144"/>
    </row>
    <row r="76" spans="1:17">
      <c r="A76" s="130" t="s">
        <v>144</v>
      </c>
      <c r="B76" s="114" t="s">
        <v>145</v>
      </c>
      <c r="C76" s="114" t="s">
        <v>59</v>
      </c>
      <c r="D76" s="114">
        <v>176</v>
      </c>
      <c r="E76" s="114">
        <v>75</v>
      </c>
      <c r="F76" s="114">
        <v>96</v>
      </c>
      <c r="G76" s="114" t="s">
        <v>86</v>
      </c>
      <c r="H76" s="114">
        <v>2</v>
      </c>
      <c r="I76" s="114" t="s">
        <v>60</v>
      </c>
      <c r="J76" s="114">
        <v>5</v>
      </c>
      <c r="K76" s="114">
        <v>4</v>
      </c>
      <c r="L76" s="144">
        <f>3600/(1046*D76/(K76*110))</f>
        <v>8.6042065009560229</v>
      </c>
      <c r="M76" s="144"/>
      <c r="N76" s="144"/>
      <c r="O76" s="144"/>
      <c r="P76" s="144"/>
      <c r="Q76" s="144"/>
    </row>
    <row r="77" spans="1:17">
      <c r="A77" s="130" t="s">
        <v>144</v>
      </c>
      <c r="B77" s="114" t="s">
        <v>145</v>
      </c>
      <c r="C77" s="114" t="s">
        <v>59</v>
      </c>
      <c r="D77" s="114">
        <v>176</v>
      </c>
      <c r="E77" s="114">
        <v>75</v>
      </c>
      <c r="F77" s="114">
        <v>96</v>
      </c>
      <c r="G77" s="114" t="s">
        <v>107</v>
      </c>
      <c r="H77" s="114">
        <v>2</v>
      </c>
      <c r="I77" s="114" t="s">
        <v>146</v>
      </c>
      <c r="J77" s="114">
        <v>5</v>
      </c>
      <c r="K77" s="114">
        <v>4</v>
      </c>
      <c r="L77" s="144">
        <f>3600/(1046*D77/(K77*110))</f>
        <v>8.6042065009560229</v>
      </c>
      <c r="M77" s="144"/>
      <c r="N77" s="144"/>
      <c r="O77" s="144"/>
      <c r="P77" s="144"/>
      <c r="Q77" s="144"/>
    </row>
  </sheetData>
  <mergeCells count="2">
    <mergeCell ref="AR1:AR2"/>
    <mergeCell ref="D1:Q1"/>
  </mergeCells>
  <phoneticPr fontId="2" type="noConversion"/>
  <hyperlinks>
    <hyperlink ref="A66" r:id="rId1" location="R14" display="https://www.ncbi.nlm.nih.gov/pmc/articles/PMC5666301/ - R14" xr:uid="{00000000-0004-0000-0000-000000000000}"/>
  </hyperlinks>
  <pageMargins left="0.7" right="0.7" top="0.75" bottom="0.75" header="0.3" footer="0.3"/>
  <pageSetup paperSize="9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P17"/>
  <sheetViews>
    <sheetView workbookViewId="0">
      <selection activeCell="G12" sqref="G12"/>
    </sheetView>
  </sheetViews>
  <sheetFormatPr defaultRowHeight="14.4"/>
  <cols>
    <col min="12" max="12" width="20.5546875" customWidth="1"/>
  </cols>
  <sheetData>
    <row r="2" spans="2:16" ht="17.399999999999999">
      <c r="B2" s="8" t="s">
        <v>147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2:16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2:16">
      <c r="B4" s="9"/>
      <c r="C4" s="10" t="s">
        <v>148</v>
      </c>
      <c r="D4" s="9"/>
      <c r="E4" s="9"/>
      <c r="F4" s="9"/>
      <c r="G4" s="10" t="s">
        <v>149</v>
      </c>
      <c r="H4" s="9"/>
      <c r="I4" s="9"/>
      <c r="J4" s="9"/>
      <c r="K4" s="9"/>
      <c r="L4" s="9"/>
      <c r="M4" s="9"/>
      <c r="N4" s="9"/>
      <c r="O4" s="9"/>
      <c r="P4" s="9"/>
    </row>
    <row r="5" spans="2:16" ht="43.2">
      <c r="B5" s="9"/>
      <c r="C5" s="9" t="s">
        <v>150</v>
      </c>
      <c r="D5" s="9" t="s">
        <v>151</v>
      </c>
      <c r="E5" s="9" t="s">
        <v>152</v>
      </c>
      <c r="F5" s="9"/>
      <c r="G5" s="4" t="s">
        <v>153</v>
      </c>
      <c r="H5" s="4" t="s">
        <v>154</v>
      </c>
      <c r="I5" s="4" t="s">
        <v>155</v>
      </c>
      <c r="J5" s="9"/>
      <c r="K5" s="9"/>
      <c r="L5" s="9"/>
      <c r="M5" s="9"/>
      <c r="N5" s="9"/>
      <c r="O5" s="9"/>
      <c r="P5" s="9"/>
    </row>
    <row r="6" spans="2:16">
      <c r="B6" s="9" t="s">
        <v>156</v>
      </c>
      <c r="C6" s="9">
        <v>7000</v>
      </c>
      <c r="D6" s="9">
        <v>100000</v>
      </c>
      <c r="E6" s="9">
        <v>8500</v>
      </c>
      <c r="F6" s="9"/>
      <c r="G6" s="9">
        <f>10*360</f>
        <v>3600</v>
      </c>
      <c r="H6" s="9">
        <f>10*360</f>
        <v>3600</v>
      </c>
      <c r="I6" s="9">
        <f>84*360</f>
        <v>30240</v>
      </c>
      <c r="J6" s="9"/>
      <c r="K6" s="11">
        <v>0.1</v>
      </c>
      <c r="L6" s="9" t="s">
        <v>157</v>
      </c>
      <c r="M6" s="9"/>
      <c r="N6" s="9"/>
      <c r="O6" s="9"/>
      <c r="P6" s="9"/>
    </row>
    <row r="7" spans="2:16">
      <c r="B7" s="9" t="s">
        <v>158</v>
      </c>
      <c r="C7" s="9">
        <v>10700</v>
      </c>
      <c r="D7" s="9"/>
      <c r="E7" s="9">
        <v>3000</v>
      </c>
      <c r="F7" s="9"/>
      <c r="G7" s="9">
        <f>10*124</f>
        <v>1240</v>
      </c>
      <c r="H7" s="9">
        <f>10*124</f>
        <v>1240</v>
      </c>
      <c r="I7" s="9">
        <f>84*124</f>
        <v>10416</v>
      </c>
      <c r="J7" s="9"/>
      <c r="K7" s="9" t="s">
        <v>159</v>
      </c>
      <c r="L7" s="9"/>
      <c r="M7" s="9" t="s">
        <v>160</v>
      </c>
      <c r="O7" s="9"/>
      <c r="P7" s="9"/>
    </row>
    <row r="8" spans="2:16">
      <c r="B8" s="9"/>
      <c r="C8" s="9"/>
      <c r="D8" s="9"/>
      <c r="E8" s="9"/>
      <c r="F8" s="9"/>
      <c r="G8" s="9"/>
      <c r="H8" s="9"/>
      <c r="I8" s="9"/>
      <c r="J8" s="9"/>
      <c r="K8" s="9" t="s">
        <v>161</v>
      </c>
      <c r="L8" s="9"/>
      <c r="M8" s="9" t="s">
        <v>160</v>
      </c>
      <c r="N8" s="9"/>
      <c r="O8" s="9"/>
      <c r="P8" s="9"/>
    </row>
    <row r="9" spans="2:16"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2:16">
      <c r="B10" s="94" t="s">
        <v>23</v>
      </c>
      <c r="C10" s="94"/>
      <c r="D10" s="95" t="s">
        <v>162</v>
      </c>
      <c r="E10" s="94" t="s">
        <v>163</v>
      </c>
      <c r="F10" s="94"/>
      <c r="G10" s="94" t="s">
        <v>164</v>
      </c>
      <c r="H10" s="94"/>
      <c r="I10" s="9"/>
      <c r="J10" s="9"/>
      <c r="K10" s="9"/>
      <c r="L10" s="9"/>
      <c r="M10" s="9"/>
      <c r="N10" s="9"/>
      <c r="O10" s="9"/>
      <c r="P10" s="9"/>
    </row>
    <row r="11" spans="2:16">
      <c r="B11" s="9"/>
      <c r="C11" s="10"/>
      <c r="D11" s="95"/>
      <c r="E11" s="10" t="s">
        <v>156</v>
      </c>
      <c r="F11" s="10" t="s">
        <v>158</v>
      </c>
      <c r="G11" s="10" t="s">
        <v>156</v>
      </c>
      <c r="H11" s="10" t="s">
        <v>158</v>
      </c>
      <c r="I11" s="9"/>
      <c r="J11" s="9"/>
      <c r="L11" s="12" t="s">
        <v>165</v>
      </c>
      <c r="M11" s="9"/>
      <c r="N11" s="9"/>
      <c r="O11" s="9"/>
      <c r="P11" s="9"/>
    </row>
    <row r="12" spans="2:16">
      <c r="B12" s="96" t="s">
        <v>166</v>
      </c>
      <c r="C12" s="96"/>
      <c r="D12" s="9">
        <v>40</v>
      </c>
      <c r="E12" s="9">
        <f>D12*0.136*(1-0.275)*$C$6+D12*0.136*0.275*$D$6+D12*0.1*$E$6</f>
        <v>211208.00000000003</v>
      </c>
      <c r="F12" s="9">
        <f>$C$7*0.11*D12+$E$7*0.75*0.1*D12</f>
        <v>56080</v>
      </c>
      <c r="G12" s="9">
        <f>D12*$G$6+D12*$H$6*0.11+D12*$I$6*0.75*0.1</f>
        <v>250560</v>
      </c>
      <c r="H12" s="9">
        <f>D12*$G$7+D12*0.11*$H$7+D12*0.75*0.1*$I$7</f>
        <v>86304</v>
      </c>
      <c r="I12" s="9"/>
      <c r="J12" s="9"/>
      <c r="L12" s="9" t="s">
        <v>167</v>
      </c>
      <c r="M12" s="5" t="s">
        <v>168</v>
      </c>
      <c r="N12" s="9"/>
      <c r="O12" s="9"/>
      <c r="P12" s="9"/>
    </row>
    <row r="13" spans="2:16">
      <c r="B13" s="9"/>
      <c r="C13" s="9"/>
      <c r="D13" s="9"/>
      <c r="E13" s="9"/>
      <c r="F13" s="9"/>
      <c r="G13" s="9"/>
      <c r="H13" s="9"/>
      <c r="I13" s="9"/>
      <c r="J13" s="9"/>
      <c r="K13" s="9"/>
      <c r="L13" s="9" t="s">
        <v>169</v>
      </c>
      <c r="M13" s="5" t="s">
        <v>170</v>
      </c>
      <c r="N13" s="9"/>
      <c r="O13" s="9"/>
      <c r="P13" s="9"/>
    </row>
    <row r="14" spans="2:16">
      <c r="B14" s="9"/>
      <c r="C14" s="9"/>
      <c r="D14" s="9"/>
      <c r="E14" s="9"/>
      <c r="F14" s="9"/>
      <c r="G14" s="9"/>
      <c r="H14" s="9"/>
      <c r="I14" s="9"/>
      <c r="J14" s="9"/>
      <c r="K14" s="9"/>
      <c r="L14" s="9" t="s">
        <v>171</v>
      </c>
      <c r="M14" s="5" t="s">
        <v>172</v>
      </c>
      <c r="N14" s="9"/>
      <c r="O14" s="9"/>
      <c r="P14" s="9"/>
    </row>
    <row r="15" spans="2:16"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12:13">
      <c r="L17" s="9" t="s">
        <v>173</v>
      </c>
      <c r="M17" t="s">
        <v>174</v>
      </c>
    </row>
  </sheetData>
  <mergeCells count="5">
    <mergeCell ref="B10:C10"/>
    <mergeCell ref="D10:D11"/>
    <mergeCell ref="E10:F10"/>
    <mergeCell ref="G10:H10"/>
    <mergeCell ref="B12:C12"/>
  </mergeCells>
  <hyperlinks>
    <hyperlink ref="M12" r:id="rId1" location=":~:text=Fallkosten%20bei%20schweren%20Verl%C3%A4ufen%20liegen,im%20Schnitt%2010.700%20Euro%20kostet." display="https://www.aerztezeitung.de/Politik/Was-kostet-Corona-das-Gesundheitswesen-Kassendaten-geben-Einblick-413830.html?noGatewayCall=1 - :~:text=Fallkosten%20bei%20schweren%20Verl%C3%A4ufen%20liegen,im%20Schnitt%2010.700%20Euro%20kostet." xr:uid="{00000000-0004-0000-0100-000000000000}"/>
    <hyperlink ref="M13" r:id="rId2" location="citeas" display="https://bmchealthservres.biomedcentral.com/articles/10.1186/s12913-023-09601-6 - citeas" xr:uid="{00000000-0004-0000-0100-000001000000}"/>
    <hyperlink ref="M14" r:id="rId3" display="https://www.pourdemain.ch/post/fr%C3%BChwarnsystem-gegen-pandemien-spart-bis-zu-30-milliarden-franken" xr:uid="{00000000-0004-0000-0100-000002000000}"/>
  </hyperlinks>
  <pageMargins left="0.7" right="0.7" top="0.75" bottom="0.75" header="0.3" footer="0.3"/>
  <pageSetup paperSize="9" orientation="portrait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88"/>
  <sheetViews>
    <sheetView topLeftCell="A10" workbookViewId="0">
      <selection activeCell="E91" sqref="E91"/>
    </sheetView>
  </sheetViews>
  <sheetFormatPr defaultRowHeight="14.4"/>
  <cols>
    <col min="1" max="1" width="64.5546875" style="108" bestFit="1" customWidth="1"/>
    <col min="2" max="2" width="29.44140625" style="89" bestFit="1" customWidth="1"/>
    <col min="3" max="3" width="34.44140625" style="89" bestFit="1" customWidth="1"/>
    <col min="4" max="4" width="9" style="89" bestFit="1" customWidth="1"/>
    <col min="5" max="5" width="184.44140625" style="89" bestFit="1" customWidth="1"/>
    <col min="6" max="6" width="20.5546875" customWidth="1"/>
    <col min="7" max="7" width="35.5546875" customWidth="1"/>
  </cols>
  <sheetData>
    <row r="2" spans="1:8" ht="18">
      <c r="A2" s="127" t="s">
        <v>175</v>
      </c>
      <c r="B2" s="110" t="s">
        <v>176</v>
      </c>
      <c r="C2" s="110" t="s">
        <v>509</v>
      </c>
      <c r="D2" s="111"/>
      <c r="E2" s="110" t="s">
        <v>177</v>
      </c>
    </row>
    <row r="3" spans="1:8">
      <c r="A3" s="128" t="s">
        <v>178</v>
      </c>
    </row>
    <row r="4" spans="1:8">
      <c r="A4" s="108" t="s">
        <v>505</v>
      </c>
    </row>
    <row r="5" spans="1:8" ht="43.2">
      <c r="A5" s="108" t="s">
        <v>506</v>
      </c>
      <c r="B5" s="112">
        <v>0.75</v>
      </c>
      <c r="E5" s="113" t="s">
        <v>179</v>
      </c>
    </row>
    <row r="6" spans="1:8" ht="43.2">
      <c r="A6" s="108" t="s">
        <v>157</v>
      </c>
      <c r="B6" s="112">
        <v>0.1</v>
      </c>
      <c r="E6" s="114" t="s">
        <v>180</v>
      </c>
    </row>
    <row r="7" spans="1:8">
      <c r="A7" s="108" t="s">
        <v>181</v>
      </c>
      <c r="B7" s="112">
        <v>0.1</v>
      </c>
      <c r="E7" s="115" t="s">
        <v>182</v>
      </c>
    </row>
    <row r="8" spans="1:8">
      <c r="A8" s="108" t="s">
        <v>183</v>
      </c>
      <c r="B8" s="112">
        <f>33%*B7</f>
        <v>3.3000000000000002E-2</v>
      </c>
      <c r="E8" s="115" t="s">
        <v>184</v>
      </c>
      <c r="F8" s="18" t="s">
        <v>185</v>
      </c>
      <c r="G8" s="9"/>
    </row>
    <row r="9" spans="1:8" ht="100.8">
      <c r="A9" s="108" t="s">
        <v>186</v>
      </c>
      <c r="B9" s="116">
        <v>0.04</v>
      </c>
      <c r="C9" s="89" t="s">
        <v>187</v>
      </c>
      <c r="E9" s="114" t="s">
        <v>188</v>
      </c>
      <c r="F9" s="9"/>
    </row>
    <row r="10" spans="1:8" ht="57.6">
      <c r="A10" s="108" t="s">
        <v>189</v>
      </c>
      <c r="B10" s="89" t="s">
        <v>190</v>
      </c>
      <c r="C10" s="117">
        <f>1.01/100000</f>
        <v>1.01E-5</v>
      </c>
      <c r="D10" s="118">
        <v>5.0000000000000002E-5</v>
      </c>
      <c r="E10" s="113" t="s">
        <v>191</v>
      </c>
      <c r="G10" s="27"/>
      <c r="H10" s="27"/>
    </row>
    <row r="12" spans="1:8">
      <c r="A12" s="108" t="s">
        <v>192</v>
      </c>
      <c r="B12" s="89">
        <v>10700</v>
      </c>
      <c r="E12" s="115" t="s">
        <v>168</v>
      </c>
    </row>
    <row r="13" spans="1:8">
      <c r="A13" s="108" t="s">
        <v>193</v>
      </c>
      <c r="B13" s="89">
        <f>7000*0.75+100000*0.25</f>
        <v>30250</v>
      </c>
      <c r="E13" s="115" t="s">
        <v>172</v>
      </c>
    </row>
    <row r="14" spans="1:8">
      <c r="A14" s="108" t="s">
        <v>194</v>
      </c>
      <c r="B14" s="89">
        <v>3000</v>
      </c>
      <c r="C14" s="89" t="s">
        <v>158</v>
      </c>
      <c r="E14" s="115" t="s">
        <v>170</v>
      </c>
    </row>
    <row r="15" spans="1:8">
      <c r="A15" s="108" t="s">
        <v>195</v>
      </c>
      <c r="B15" s="89">
        <v>8500</v>
      </c>
      <c r="C15" s="89" t="s">
        <v>156</v>
      </c>
      <c r="E15" s="115" t="s">
        <v>172</v>
      </c>
    </row>
    <row r="16" spans="1:8">
      <c r="E16" s="119"/>
    </row>
    <row r="17" spans="1:6">
      <c r="A17" s="108" t="s">
        <v>196</v>
      </c>
      <c r="B17" s="120">
        <v>5</v>
      </c>
      <c r="E17" s="115" t="s">
        <v>172</v>
      </c>
    </row>
    <row r="18" spans="1:6" ht="72">
      <c r="A18" s="108" t="s">
        <v>197</v>
      </c>
      <c r="B18" s="89">
        <v>15</v>
      </c>
      <c r="E18" s="114" t="s">
        <v>198</v>
      </c>
    </row>
    <row r="19" spans="1:6">
      <c r="A19" s="108" t="s">
        <v>199</v>
      </c>
      <c r="B19" s="89">
        <v>84</v>
      </c>
      <c r="E19" s="115" t="s">
        <v>170</v>
      </c>
    </row>
    <row r="20" spans="1:6">
      <c r="A20" s="108" t="s">
        <v>200</v>
      </c>
      <c r="B20" s="89">
        <v>124</v>
      </c>
      <c r="C20" s="89">
        <f>947.66/5</f>
        <v>189.53199999999998</v>
      </c>
      <c r="E20" s="115" t="s">
        <v>170</v>
      </c>
      <c r="F20" s="5" t="s">
        <v>201</v>
      </c>
    </row>
    <row r="21" spans="1:6">
      <c r="A21" s="108" t="s">
        <v>202</v>
      </c>
      <c r="B21" s="89">
        <v>360</v>
      </c>
      <c r="E21" s="115" t="s">
        <v>172</v>
      </c>
    </row>
    <row r="22" spans="1:6">
      <c r="A22" s="108" t="s">
        <v>203</v>
      </c>
      <c r="B22" s="89">
        <v>11</v>
      </c>
      <c r="E22" s="89" t="s">
        <v>204</v>
      </c>
      <c r="F22" t="s">
        <v>205</v>
      </c>
    </row>
    <row r="23" spans="1:6" ht="43.2">
      <c r="A23" s="108" t="s">
        <v>206</v>
      </c>
      <c r="C23" s="89" t="s">
        <v>207</v>
      </c>
      <c r="E23" s="114" t="s">
        <v>208</v>
      </c>
    </row>
    <row r="25" spans="1:6">
      <c r="A25" s="108" t="s">
        <v>209</v>
      </c>
      <c r="B25" s="89">
        <v>8.0000000000000002E-3</v>
      </c>
      <c r="E25" s="115" t="s">
        <v>210</v>
      </c>
    </row>
    <row r="26" spans="1:6">
      <c r="A26" s="108" t="s">
        <v>211</v>
      </c>
      <c r="B26" s="89">
        <v>3.4000000000000002E-2</v>
      </c>
      <c r="E26" s="115" t="s">
        <v>210</v>
      </c>
    </row>
    <row r="27" spans="1:6">
      <c r="A27" s="108" t="s">
        <v>212</v>
      </c>
      <c r="B27" s="121">
        <v>0.02</v>
      </c>
      <c r="E27" s="115" t="s">
        <v>210</v>
      </c>
    </row>
    <row r="29" spans="1:6">
      <c r="A29" s="108" t="s">
        <v>213</v>
      </c>
      <c r="B29" s="89">
        <v>80000</v>
      </c>
      <c r="C29" s="89">
        <v>20000</v>
      </c>
      <c r="E29" s="89" t="s">
        <v>214</v>
      </c>
    </row>
    <row r="30" spans="1:6">
      <c r="A30" s="108" t="s">
        <v>215</v>
      </c>
      <c r="B30" s="89">
        <v>175000</v>
      </c>
      <c r="E30" s="115" t="s">
        <v>172</v>
      </c>
      <c r="F30" t="s">
        <v>216</v>
      </c>
    </row>
    <row r="33" spans="1:7">
      <c r="A33" s="128" t="s">
        <v>504</v>
      </c>
      <c r="B33" s="89" t="s">
        <v>218</v>
      </c>
      <c r="C33" s="89" t="s">
        <v>219</v>
      </c>
    </row>
    <row r="34" spans="1:7">
      <c r="A34" s="108" t="s">
        <v>505</v>
      </c>
      <c r="B34" s="89">
        <f>6/100</f>
        <v>0.06</v>
      </c>
      <c r="E34" s="115" t="s">
        <v>174</v>
      </c>
    </row>
    <row r="35" spans="1:7">
      <c r="A35" s="108" t="s">
        <v>507</v>
      </c>
      <c r="B35" s="89" t="s">
        <v>220</v>
      </c>
    </row>
    <row r="36" spans="1:7">
      <c r="A36" s="108" t="s">
        <v>221</v>
      </c>
      <c r="B36" s="122">
        <v>3.0000000000000001E-3</v>
      </c>
      <c r="E36" s="89" t="s">
        <v>222</v>
      </c>
    </row>
    <row r="37" spans="1:7">
      <c r="A37" s="108" t="s">
        <v>223</v>
      </c>
      <c r="B37" s="123">
        <f>B36*0.25</f>
        <v>7.5000000000000002E-4</v>
      </c>
      <c r="E37" s="89" t="s">
        <v>224</v>
      </c>
    </row>
    <row r="38" spans="1:7">
      <c r="A38" s="108" t="s">
        <v>225</v>
      </c>
      <c r="B38" s="124">
        <f>2%*B36</f>
        <v>6.0000000000000002E-5</v>
      </c>
      <c r="D38" s="89">
        <f>8/100000</f>
        <v>8.0000000000000007E-5</v>
      </c>
      <c r="E38" s="115" t="s">
        <v>226</v>
      </c>
    </row>
    <row r="39" spans="1:7">
      <c r="A39" s="108" t="s">
        <v>227</v>
      </c>
      <c r="B39" s="124">
        <f>B38*0.3</f>
        <v>1.8E-5</v>
      </c>
      <c r="D39" s="89">
        <f>2.5/100000</f>
        <v>2.5000000000000001E-5</v>
      </c>
      <c r="E39" s="125" t="s">
        <v>226</v>
      </c>
    </row>
    <row r="40" spans="1:7">
      <c r="B40" s="113"/>
      <c r="D40" s="89">
        <f>D39/D38</f>
        <v>0.3125</v>
      </c>
    </row>
    <row r="41" spans="1:7" ht="72">
      <c r="A41" s="108" t="s">
        <v>228</v>
      </c>
      <c r="B41" s="89">
        <v>3521</v>
      </c>
      <c r="C41" s="89">
        <v>2033</v>
      </c>
      <c r="E41" s="113" t="s">
        <v>229</v>
      </c>
      <c r="G41" s="1" t="s">
        <v>230</v>
      </c>
    </row>
    <row r="42" spans="1:7">
      <c r="A42" s="108" t="s">
        <v>231</v>
      </c>
      <c r="B42" s="120">
        <f>149100000/0.9767/14832</f>
        <v>10292.401962489766</v>
      </c>
      <c r="E42" s="115" t="s">
        <v>232</v>
      </c>
      <c r="G42" t="s">
        <v>233</v>
      </c>
    </row>
    <row r="43" spans="1:7">
      <c r="A43" s="108" t="s">
        <v>234</v>
      </c>
      <c r="B43" s="89" t="s">
        <v>220</v>
      </c>
    </row>
    <row r="45" spans="1:7" ht="28.8">
      <c r="A45" s="108" t="s">
        <v>235</v>
      </c>
      <c r="B45" s="89">
        <v>3</v>
      </c>
      <c r="E45" s="114" t="s">
        <v>236</v>
      </c>
    </row>
    <row r="46" spans="1:7">
      <c r="A46" s="108" t="s">
        <v>237</v>
      </c>
      <c r="B46" s="89">
        <v>17</v>
      </c>
      <c r="E46" s="89" t="s">
        <v>238</v>
      </c>
    </row>
    <row r="47" spans="1:7">
      <c r="A47" s="108" t="s">
        <v>239</v>
      </c>
      <c r="B47" s="89">
        <f>B20</f>
        <v>124</v>
      </c>
    </row>
    <row r="48" spans="1:7" ht="100.8">
      <c r="A48" s="108" t="s">
        <v>240</v>
      </c>
      <c r="B48" s="89">
        <v>3</v>
      </c>
      <c r="E48" s="114" t="s">
        <v>241</v>
      </c>
    </row>
    <row r="49" spans="1:6">
      <c r="A49" s="108" t="s">
        <v>242</v>
      </c>
      <c r="B49" s="89">
        <f>B48*B29</f>
        <v>240000</v>
      </c>
      <c r="C49" s="89">
        <f>B48*C29</f>
        <v>60000</v>
      </c>
    </row>
    <row r="51" spans="1:6">
      <c r="A51" s="108" t="s">
        <v>243</v>
      </c>
      <c r="B51" s="89">
        <v>3.8E-3</v>
      </c>
      <c r="C51" s="89">
        <v>8.9999999999999993E-3</v>
      </c>
      <c r="E51" s="115" t="s">
        <v>244</v>
      </c>
      <c r="F51" t="s">
        <v>245</v>
      </c>
    </row>
    <row r="52" spans="1:6">
      <c r="A52" s="108" t="s">
        <v>246</v>
      </c>
      <c r="B52" s="89" t="s">
        <v>220</v>
      </c>
    </row>
    <row r="53" spans="1:6">
      <c r="A53" s="108" t="s">
        <v>247</v>
      </c>
      <c r="B53" s="89">
        <v>1.18E-2</v>
      </c>
      <c r="C53" s="89">
        <v>3.1E-2</v>
      </c>
      <c r="E53" s="115" t="s">
        <v>244</v>
      </c>
      <c r="F53" t="s">
        <v>245</v>
      </c>
    </row>
    <row r="58" spans="1:6">
      <c r="A58" s="128" t="s">
        <v>498</v>
      </c>
    </row>
    <row r="59" spans="1:6">
      <c r="A59" s="108" t="s">
        <v>505</v>
      </c>
      <c r="B59" s="89">
        <v>0.02</v>
      </c>
      <c r="E59" s="109" t="s">
        <v>248</v>
      </c>
    </row>
    <row r="60" spans="1:6">
      <c r="A60" s="108" t="s">
        <v>507</v>
      </c>
      <c r="B60" s="112">
        <v>0.1</v>
      </c>
      <c r="E60" s="109"/>
    </row>
    <row r="61" spans="1:6">
      <c r="A61" s="108" t="s">
        <v>181</v>
      </c>
      <c r="B61" s="112">
        <v>0.3</v>
      </c>
      <c r="E61" s="109"/>
    </row>
    <row r="62" spans="1:6">
      <c r="A62" s="108" t="s">
        <v>183</v>
      </c>
      <c r="B62" s="112">
        <v>0.1</v>
      </c>
      <c r="E62" s="109"/>
    </row>
    <row r="63" spans="1:6">
      <c r="A63" s="108" t="s">
        <v>249</v>
      </c>
      <c r="B63" s="112">
        <v>0.2</v>
      </c>
      <c r="E63" s="109"/>
    </row>
    <row r="64" spans="1:6">
      <c r="A64" s="108" t="s">
        <v>250</v>
      </c>
      <c r="B64" s="126">
        <f>B63/3</f>
        <v>6.6666666666666666E-2</v>
      </c>
      <c r="E64" s="109"/>
    </row>
    <row r="66" spans="1:5">
      <c r="A66" s="108" t="s">
        <v>192</v>
      </c>
      <c r="B66" s="89">
        <f>B12</f>
        <v>10700</v>
      </c>
      <c r="E66" s="89" t="s">
        <v>251</v>
      </c>
    </row>
    <row r="67" spans="1:5">
      <c r="A67" s="108" t="s">
        <v>193</v>
      </c>
      <c r="B67" s="89">
        <f>B13</f>
        <v>30250</v>
      </c>
      <c r="E67" s="89" t="s">
        <v>251</v>
      </c>
    </row>
    <row r="68" spans="1:5">
      <c r="A68" s="108" t="s">
        <v>194</v>
      </c>
      <c r="B68" s="89">
        <f>B14</f>
        <v>3000</v>
      </c>
      <c r="E68" s="89" t="s">
        <v>251</v>
      </c>
    </row>
    <row r="69" spans="1:5">
      <c r="A69" s="108" t="s">
        <v>195</v>
      </c>
      <c r="B69" s="89">
        <f>B15</f>
        <v>8500</v>
      </c>
      <c r="E69" s="89" t="s">
        <v>251</v>
      </c>
    </row>
    <row r="71" spans="1:5">
      <c r="A71" s="108" t="s">
        <v>235</v>
      </c>
      <c r="B71" s="89">
        <v>10</v>
      </c>
    </row>
    <row r="72" spans="1:5">
      <c r="A72" s="108" t="s">
        <v>237</v>
      </c>
      <c r="B72" s="89">
        <v>20</v>
      </c>
    </row>
    <row r="73" spans="1:5">
      <c r="A73" s="108" t="s">
        <v>252</v>
      </c>
      <c r="B73" s="89">
        <v>100</v>
      </c>
    </row>
    <row r="74" spans="1:5">
      <c r="A74" s="108" t="s">
        <v>239</v>
      </c>
      <c r="B74" s="89">
        <f>B20</f>
        <v>124</v>
      </c>
    </row>
    <row r="75" spans="1:5">
      <c r="A75" s="108" t="s">
        <v>253</v>
      </c>
    </row>
    <row r="76" spans="1:5">
      <c r="A76" s="108" t="s">
        <v>254</v>
      </c>
      <c r="B76" s="89">
        <v>20</v>
      </c>
    </row>
    <row r="77" spans="1:5">
      <c r="A77" s="108" t="s">
        <v>255</v>
      </c>
      <c r="B77" s="89">
        <v>0.01</v>
      </c>
      <c r="C77" s="89" t="s">
        <v>216</v>
      </c>
      <c r="E77" s="89" t="s">
        <v>256</v>
      </c>
    </row>
    <row r="78" spans="1:5">
      <c r="A78" s="108" t="s">
        <v>257</v>
      </c>
      <c r="B78" s="89">
        <v>0.05</v>
      </c>
      <c r="C78" s="89" t="s">
        <v>216</v>
      </c>
    </row>
    <row r="79" spans="1:5">
      <c r="A79" s="108" t="s">
        <v>247</v>
      </c>
      <c r="B79" s="89">
        <v>0.04</v>
      </c>
      <c r="C79" s="89" t="s">
        <v>216</v>
      </c>
    </row>
    <row r="83" spans="1:5">
      <c r="A83" s="128" t="s">
        <v>258</v>
      </c>
    </row>
    <row r="84" spans="1:5">
      <c r="A84" s="108" t="s">
        <v>259</v>
      </c>
      <c r="B84" s="112">
        <v>0.06</v>
      </c>
      <c r="E84" s="89" t="s">
        <v>204</v>
      </c>
    </row>
    <row r="85" spans="1:5">
      <c r="A85" s="108" t="s">
        <v>260</v>
      </c>
      <c r="B85" s="89" t="s">
        <v>261</v>
      </c>
    </row>
    <row r="86" spans="1:5" ht="100.8">
      <c r="A86" s="108" t="s">
        <v>262</v>
      </c>
      <c r="B86" s="112">
        <v>0.1</v>
      </c>
      <c r="E86" s="114" t="s">
        <v>263</v>
      </c>
    </row>
    <row r="87" spans="1:5">
      <c r="A87" s="108" t="s">
        <v>508</v>
      </c>
      <c r="B87" s="89">
        <v>34015</v>
      </c>
      <c r="E87" s="89" t="s">
        <v>204</v>
      </c>
    </row>
    <row r="88" spans="1:5">
      <c r="A88" s="108" t="s">
        <v>264</v>
      </c>
    </row>
  </sheetData>
  <mergeCells count="1">
    <mergeCell ref="E59:E64"/>
  </mergeCells>
  <hyperlinks>
    <hyperlink ref="E12" r:id="rId1" location=":~:text=Fallkosten%20bei%20schweren%20Verl%C3%A4ufen%20liegen,im%20Schnitt%2010.700%20Euro%20kostet." display="https://www.aerztezeitung.de/Politik/Was-kostet-Corona-das-Gesundheitswesen-Kassendaten-geben-Einblick-413830.html?noGatewayCall=1 - :~:text=Fallkosten%20bei%20schweren%20Verl%C3%A4ufen%20liegen,im%20Schnitt%2010.700%20Euro%20kostet." xr:uid="{00000000-0004-0000-0200-000000000000}"/>
    <hyperlink ref="E8" r:id="rId2" display="https://www.rki.de/DE/Content/InfAZ/N/Neuartiges_Coronavirus/Daten/Klinische_Aspekte.html" xr:uid="{00000000-0004-0000-0200-000001000000}"/>
    <hyperlink ref="E7" r:id="rId3" display="https://www.rki.de/DE/Content/InfAZ/N/Neuartiges_Coronavirus/Steckbrief.html" xr:uid="{00000000-0004-0000-0200-000002000000}"/>
    <hyperlink ref="F8" r:id="rId4" xr:uid="{00000000-0004-0000-0200-000003000000}"/>
    <hyperlink ref="E5" r:id="rId5" display="https://www.ncbi.nlm.nih.gov/pmc/articles/PMC9792933/   -  35% asymptomatic" xr:uid="{00000000-0004-0000-0200-000004000000}"/>
    <hyperlink ref="E10" r:id="rId6" display="https://www.ncbi.nlm.nih.gov/pmc/articles/PMC7755064/" xr:uid="{00000000-0004-0000-0200-000005000000}"/>
    <hyperlink ref="E13" r:id="rId7" display="https://www.pourdemain.ch/post/fr%C3%BChwarnsystem-gegen-pandemien-spart-bis-zu-30-milliarden-franken" xr:uid="{00000000-0004-0000-0200-000006000000}"/>
    <hyperlink ref="E17" r:id="rId8" display="https://www.pourdemain.ch/post/fr%C3%BChwarnsystem-gegen-pandemien-spart-bis-zu-30-milliarden-franken" xr:uid="{00000000-0004-0000-0200-000007000000}"/>
    <hyperlink ref="E21" r:id="rId9" display="https://www.pourdemain.ch/post/fr%C3%BChwarnsystem-gegen-pandemien-spart-bis-zu-30-milliarden-franken" xr:uid="{00000000-0004-0000-0200-000008000000}"/>
    <hyperlink ref="E25" r:id="rId10" xr:uid="{00000000-0004-0000-0200-000009000000}"/>
    <hyperlink ref="E20" r:id="rId11" location="citeas" display="https://bmchealthservres.biomedcentral.com/articles/10.1186/s12913-023-09601-6 - citeas" xr:uid="{00000000-0004-0000-0200-00000A000000}"/>
    <hyperlink ref="E38" r:id="rId12" xr:uid="{00000000-0004-0000-0200-00000B000000}"/>
    <hyperlink ref="E41" r:id="rId13" display="https://bmcpublichealth.biomedcentral.com/articles/10.1186/s12889-019-7458-x (large difference between age groups!)" xr:uid="{00000000-0004-0000-0200-00000C000000}"/>
    <hyperlink ref="F20" r:id="rId14" location="CR35" display="https://www.ncbi.nlm.nih.gov/pmc/articles/PMC8794900/ - CR35" xr:uid="{00000000-0004-0000-0200-00000D000000}"/>
    <hyperlink ref="E42" r:id="rId15" xr:uid="{00000000-0004-0000-0200-00000E000000}"/>
    <hyperlink ref="E26:E27" r:id="rId16" display="https://resource-allocation.biomedcentral.com/articles/10.1186/s12962-022-00356-1/tables/2" xr:uid="{00000000-0004-0000-0200-00000F000000}"/>
    <hyperlink ref="E26" r:id="rId17" xr:uid="{00000000-0004-0000-0200-000010000000}"/>
    <hyperlink ref="E27" r:id="rId18" xr:uid="{00000000-0004-0000-0200-000011000000}"/>
    <hyperlink ref="E30" r:id="rId19" display="https://www.pourdemain.ch/post/fr%C3%BChwarnsystem-gegen-pandemien-spart-bis-zu-30-milliarden-franken" xr:uid="{00000000-0004-0000-0200-000012000000}"/>
    <hyperlink ref="E14" r:id="rId20" location="citeas" display="https://bmchealthservres.biomedcentral.com/articles/10.1186/s12913-023-09601-6 - citeas" xr:uid="{00000000-0004-0000-0200-000013000000}"/>
    <hyperlink ref="E15" r:id="rId21" display="https://www.pourdemain.ch/post/fr%C3%BChwarnsystem-gegen-pandemien-spart-bis-zu-30-milliarden-franken" xr:uid="{00000000-0004-0000-0200-000014000000}"/>
    <hyperlink ref="E19" r:id="rId22" location="citeas" display="https://bmchealthservres.biomedcentral.com/articles/10.1186/s12913-023-09601-6 - citeas" xr:uid="{00000000-0004-0000-0200-000015000000}"/>
    <hyperlink ref="E51" r:id="rId23" display="https://www.valueinhealthjournal.com/article/S1098-3015(20)34455-7/pdf" xr:uid="{00000000-0004-0000-0200-000016000000}"/>
    <hyperlink ref="E53" r:id="rId24" display="https://www.valueinhealthjournal.com/article/S1098-3015(20)34455-7/pdf" xr:uid="{00000000-0004-0000-0200-000017000000}"/>
    <hyperlink ref="E34" r:id="rId25" location="doc15368638bodyText4" xr:uid="{00000000-0004-0000-0200-000018000000}"/>
  </hyperlinks>
  <pageMargins left="0.7" right="0.7" top="0.75" bottom="0.75" header="0.3" footer="0.3"/>
  <pageSetup paperSize="9" orientation="portrait" r:id="rId2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V178"/>
  <sheetViews>
    <sheetView topLeftCell="D1" zoomScale="90" zoomScaleNormal="90" workbookViewId="0">
      <selection activeCell="K27" sqref="K27"/>
    </sheetView>
  </sheetViews>
  <sheetFormatPr defaultRowHeight="14.4"/>
  <cols>
    <col min="2" max="2" width="32.44140625" customWidth="1"/>
    <col min="3" max="3" width="21.44140625" customWidth="1"/>
    <col min="4" max="4" width="18.77734375" bestFit="1" customWidth="1"/>
    <col min="5" max="6" width="18.77734375" customWidth="1"/>
    <col min="7" max="7" width="18.21875" customWidth="1"/>
    <col min="8" max="9" width="16.77734375" customWidth="1"/>
    <col min="10" max="10" width="15.5546875" customWidth="1"/>
    <col min="11" max="11" width="18" customWidth="1"/>
    <col min="12" max="12" width="20.21875" customWidth="1"/>
    <col min="13" max="13" width="19.21875" customWidth="1"/>
    <col min="14" max="14" width="19" customWidth="1"/>
    <col min="15" max="15" width="18.77734375" customWidth="1"/>
    <col min="16" max="16" width="10" customWidth="1"/>
    <col min="17" max="17" width="11.5546875" customWidth="1"/>
    <col min="18" max="18" width="20.5546875" customWidth="1"/>
  </cols>
  <sheetData>
    <row r="2" spans="2:22" ht="17.399999999999999">
      <c r="B2" s="8" t="s">
        <v>147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2:22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2:22">
      <c r="B4" s="24" t="s">
        <v>23</v>
      </c>
      <c r="C4" s="24"/>
      <c r="D4" s="98" t="s">
        <v>162</v>
      </c>
      <c r="E4" s="98"/>
      <c r="F4" s="98"/>
      <c r="G4" s="98"/>
      <c r="H4" s="98"/>
      <c r="I4" s="98"/>
      <c r="S4" s="9"/>
      <c r="T4" s="9"/>
      <c r="U4" s="9"/>
      <c r="V4" s="9"/>
    </row>
    <row r="5" spans="2:22" ht="28.8" customHeight="1">
      <c r="C5" s="10"/>
      <c r="D5" s="25" t="s">
        <v>265</v>
      </c>
      <c r="E5" s="25" t="s">
        <v>266</v>
      </c>
      <c r="F5" s="25" t="s">
        <v>267</v>
      </c>
      <c r="G5" s="25" t="s">
        <v>268</v>
      </c>
      <c r="H5" s="25" t="s">
        <v>269</v>
      </c>
      <c r="I5" s="25" t="s">
        <v>270</v>
      </c>
      <c r="S5" s="9"/>
      <c r="T5" s="9"/>
      <c r="U5" s="9"/>
      <c r="V5" s="9"/>
    </row>
    <row r="6" spans="2:22">
      <c r="B6" s="9" t="s">
        <v>166</v>
      </c>
      <c r="C6" s="9" t="s">
        <v>271</v>
      </c>
      <c r="D6" s="16">
        <f>SUM(Scenarios!AF3:AF10)</f>
        <v>326.03999999999996</v>
      </c>
      <c r="E6" s="16">
        <f>SUM(Scenarios!AG3:AG10)</f>
        <v>269.5</v>
      </c>
      <c r="F6" s="16">
        <f>SUM(Scenarios!AH3:AH10)</f>
        <v>20.32</v>
      </c>
      <c r="G6" s="16">
        <f>SUM(Scenarios!AI3:AI10)</f>
        <v>16.480000000000004</v>
      </c>
      <c r="H6" s="16">
        <f>SUM(Scenarios!AJ3:AJ10)</f>
        <v>64.16</v>
      </c>
      <c r="I6" s="16">
        <f>SUM(Scenarios!AK3:AK10)</f>
        <v>53.20000000000001</v>
      </c>
      <c r="J6" s="14"/>
      <c r="K6" s="14"/>
      <c r="L6" s="51">
        <f>D9</f>
        <v>186.34</v>
      </c>
      <c r="M6" s="51"/>
      <c r="N6" s="51">
        <f>F9</f>
        <v>7.36</v>
      </c>
      <c r="O6" s="51"/>
      <c r="P6" s="51">
        <f>H9</f>
        <v>32.880000000000003</v>
      </c>
      <c r="Q6" s="13"/>
      <c r="R6" s="9"/>
      <c r="S6" s="9"/>
      <c r="T6" s="9"/>
      <c r="U6" s="9"/>
      <c r="V6" s="9"/>
    </row>
    <row r="7" spans="2:22">
      <c r="C7" t="s">
        <v>272</v>
      </c>
      <c r="D7" s="72">
        <f>SUM(Scenarios!AF11:AF20)</f>
        <v>1876.38</v>
      </c>
      <c r="E7" s="72">
        <f>SUM(Scenarios!AG11:AG20)</f>
        <v>520.74</v>
      </c>
      <c r="F7" s="72">
        <f>SUM(Scenarios!AH11:AH20)</f>
        <v>84.6</v>
      </c>
      <c r="G7" s="72">
        <f>SUM(Scenarios!AI11:AI20)</f>
        <v>23.36</v>
      </c>
      <c r="H7" s="72">
        <f>SUM(Scenarios!AJ11:AJ20)</f>
        <v>332.32</v>
      </c>
      <c r="I7" s="72">
        <f>SUM(Scenarios!AK11:AK20)</f>
        <v>92.72</v>
      </c>
      <c r="O7" s="9"/>
      <c r="P7" s="9"/>
      <c r="Q7" s="11"/>
      <c r="R7" s="9"/>
      <c r="S7" s="9"/>
      <c r="T7" s="9"/>
      <c r="U7" s="9"/>
      <c r="V7" s="9"/>
    </row>
    <row r="8" spans="2:22">
      <c r="C8" t="s">
        <v>274</v>
      </c>
      <c r="D8" s="16">
        <f>SUM(Scenarios!AF21:AF22)</f>
        <v>112.64000000000001</v>
      </c>
      <c r="E8" s="16">
        <f>SUM(Scenarios!AG21:AG22)</f>
        <v>28.160000000000004</v>
      </c>
      <c r="F8" s="16">
        <f>SUM(Scenarios!AH21:AH22)</f>
        <v>5.120000000000001</v>
      </c>
      <c r="G8" s="16">
        <f>SUM(Scenarios!AI21:AI22)</f>
        <v>1.2800000000000002</v>
      </c>
      <c r="H8" s="16">
        <f>SUM(Scenarios!AJ21:AJ22)</f>
        <v>20.480000000000004</v>
      </c>
      <c r="I8" s="16">
        <f>SUM(Scenarios!AK21:AK22)</f>
        <v>5.120000000000001</v>
      </c>
      <c r="N8">
        <f>N6/L6</f>
        <v>3.9497692390254371E-2</v>
      </c>
      <c r="O8" s="37">
        <f>N8*(hospitalisation_de/$K$23)</f>
        <v>3.3559228149761577</v>
      </c>
      <c r="P8">
        <f>P6/N6</f>
        <v>4.4673913043478262</v>
      </c>
      <c r="Q8" s="37">
        <f>P8*($K$27/$K$25)</f>
        <v>52.82867494824017</v>
      </c>
      <c r="R8" s="9"/>
      <c r="S8" s="9"/>
      <c r="T8" s="9"/>
      <c r="U8" s="9"/>
      <c r="V8" s="9"/>
    </row>
    <row r="9" spans="2:22">
      <c r="C9" t="s">
        <v>72</v>
      </c>
      <c r="D9" s="16">
        <f>SUM(Scenarios!AF23:AF28)</f>
        <v>186.34</v>
      </c>
      <c r="E9" s="16">
        <f>SUM(Scenarios!AG23:AG28)</f>
        <v>142.77999999999997</v>
      </c>
      <c r="F9" s="16">
        <f>SUM(Scenarios!AH23:AH28)</f>
        <v>7.36</v>
      </c>
      <c r="G9" s="16">
        <f>SUM(Scenarios!AI23:AI28)</f>
        <v>5.1199999999999992</v>
      </c>
      <c r="H9" s="16">
        <f>SUM(Scenarios!AJ23:AJ28)</f>
        <v>32.880000000000003</v>
      </c>
      <c r="I9" s="16">
        <f>SUM(Scenarios!AK23:AK28)</f>
        <v>25.439999999999998</v>
      </c>
      <c r="O9" s="37">
        <f>N9*(hospitalisation_de/$K$23)</f>
        <v>0</v>
      </c>
      <c r="Q9" s="37">
        <f>P9*($K$27/$K$25)</f>
        <v>0</v>
      </c>
      <c r="R9" s="12"/>
      <c r="S9" s="9"/>
      <c r="T9" s="9"/>
      <c r="U9" s="9"/>
      <c r="V9" s="9"/>
    </row>
    <row r="10" spans="2:22">
      <c r="B10" t="s">
        <v>79</v>
      </c>
      <c r="C10" t="s">
        <v>80</v>
      </c>
      <c r="D10" s="16">
        <f>SUM(Scenarios!AF29:AF34)</f>
        <v>11.220000000000002</v>
      </c>
      <c r="E10" s="16">
        <f>SUM(Scenarios!AG29:AG34)</f>
        <v>5.72</v>
      </c>
      <c r="F10" s="16">
        <f>SUM(Scenarios!AH29:AH34)</f>
        <v>0.76000000000000012</v>
      </c>
      <c r="G10" s="16">
        <f>SUM(Scenarios!AI29:AI34)</f>
        <v>0.36</v>
      </c>
      <c r="H10" s="16">
        <f>SUM(Scenarios!AJ29:AJ34)</f>
        <v>2.3200000000000003</v>
      </c>
      <c r="I10" s="16">
        <f>SUM(Scenarios!AK29:AK34)</f>
        <v>1.1199999999999999</v>
      </c>
      <c r="K10" s="51"/>
      <c r="L10" s="51">
        <f>AVERAGE(E10:E13)</f>
        <v>9.35</v>
      </c>
      <c r="M10" s="51"/>
      <c r="N10" s="51">
        <f>AVERAGE(G10:G13)</f>
        <v>0.44</v>
      </c>
      <c r="O10" s="37"/>
      <c r="P10" s="51">
        <f>AVERAGE(I10:I13)</f>
        <v>1.72</v>
      </c>
      <c r="Q10" s="37"/>
      <c r="R10" s="12"/>
      <c r="S10" s="9"/>
      <c r="T10" s="9"/>
      <c r="U10" s="9"/>
      <c r="V10" s="9"/>
    </row>
    <row r="11" spans="2:22">
      <c r="B11" t="s">
        <v>89</v>
      </c>
      <c r="C11" t="s">
        <v>275</v>
      </c>
      <c r="D11" s="16">
        <f>SUM(Scenarios!AF35:AF38)</f>
        <v>10.560000000000002</v>
      </c>
      <c r="E11" s="16">
        <f>SUM(Scenarios!AG35:AG38)</f>
        <v>5.2799999999999994</v>
      </c>
      <c r="F11" s="16">
        <f>SUM(Scenarios!AH35:AH38)</f>
        <v>0.48000000000000009</v>
      </c>
      <c r="G11" s="16">
        <f>SUM(Scenarios!AI35:AI38)</f>
        <v>0.24</v>
      </c>
      <c r="H11" s="16">
        <f>SUM(Scenarios!AJ35:AJ38)</f>
        <v>1.9200000000000004</v>
      </c>
      <c r="I11" s="16">
        <f>SUM(Scenarios!AK35:AK38)</f>
        <v>0.96</v>
      </c>
      <c r="L11" s="51"/>
      <c r="O11" s="37">
        <f>N11*(hospitalisation_de/$K$23)</f>
        <v>0</v>
      </c>
      <c r="Q11" s="37">
        <f>P11*($K$27/$K$25)</f>
        <v>0</v>
      </c>
      <c r="R11" s="12"/>
      <c r="S11" s="9"/>
      <c r="T11" s="9"/>
      <c r="U11" s="9"/>
      <c r="V11" s="9"/>
    </row>
    <row r="12" spans="2:22">
      <c r="C12" t="s">
        <v>276</v>
      </c>
      <c r="D12" s="16">
        <f>SUM(Scenarios!AF39:AF40)</f>
        <v>52.8</v>
      </c>
      <c r="E12" s="16">
        <f>SUM(Scenarios!AG39:AG40)</f>
        <v>22</v>
      </c>
      <c r="F12" s="16">
        <f>SUM(Scenarios!AH39:AH40)</f>
        <v>2.4</v>
      </c>
      <c r="G12" s="16">
        <f>SUM(Scenarios!AI39:AI40)</f>
        <v>1</v>
      </c>
      <c r="H12" s="16">
        <f>SUM(Scenarios!AJ39:AJ40)</f>
        <v>9.6</v>
      </c>
      <c r="I12" s="16">
        <f>SUM(Scenarios!AK39:AK40)</f>
        <v>4</v>
      </c>
      <c r="L12" s="51"/>
      <c r="N12">
        <f>N10/L10</f>
        <v>4.7058823529411764E-2</v>
      </c>
      <c r="O12" s="37">
        <f>N12*(hospitalisation_de/$K$23)</f>
        <v>3.9983545865898802</v>
      </c>
      <c r="P12">
        <f>P10/N10</f>
        <v>3.9090909090909092</v>
      </c>
      <c r="Q12" s="37">
        <f>P12*($K$27/$K$25)</f>
        <v>46.22655122655123</v>
      </c>
      <c r="R12" s="12"/>
      <c r="S12" s="9"/>
      <c r="T12" s="9"/>
      <c r="U12" s="9"/>
      <c r="V12" s="9"/>
    </row>
    <row r="13" spans="2:22">
      <c r="C13" t="s">
        <v>277</v>
      </c>
      <c r="D13" s="16">
        <f>SUM(Scenarios!AF41:AF46)</f>
        <v>8.3600000000000012</v>
      </c>
      <c r="E13" s="16">
        <f>SUM(Scenarios!AG41:AG46)</f>
        <v>4.3999999999999995</v>
      </c>
      <c r="F13" s="16">
        <f>SUM(Scenarios!AH41:AH46)</f>
        <v>0.39999999999999997</v>
      </c>
      <c r="G13" s="16">
        <f>SUM(Scenarios!AI41:AI46)</f>
        <v>0.15999999999999998</v>
      </c>
      <c r="H13" s="16">
        <f>SUM(Scenarios!AJ41:AJ46)</f>
        <v>1.52</v>
      </c>
      <c r="I13" s="16">
        <f>SUM(Scenarios!AK41:AK46)</f>
        <v>0.79999999999999993</v>
      </c>
      <c r="L13" s="51"/>
      <c r="O13" s="37">
        <f>N13*(hospitalisation_de/$K$23)</f>
        <v>0</v>
      </c>
      <c r="Q13" s="37">
        <f>P13*($K$27/$K$25)</f>
        <v>0</v>
      </c>
      <c r="R13" s="12"/>
      <c r="S13" s="9"/>
      <c r="T13" s="9"/>
      <c r="U13" s="9"/>
      <c r="V13" s="9"/>
    </row>
    <row r="14" spans="2:22">
      <c r="B14" s="9" t="s">
        <v>75</v>
      </c>
      <c r="C14" s="9" t="s">
        <v>103</v>
      </c>
      <c r="D14" s="16">
        <f>SUM(Scenarios!AF47:AF48)</f>
        <v>0.43999999999999995</v>
      </c>
      <c r="E14" s="16"/>
      <c r="F14" s="16">
        <f>SUM(Scenarios!AH47:AH48)</f>
        <v>3.1999999999999994E-2</v>
      </c>
      <c r="G14" s="16"/>
      <c r="H14" s="16">
        <f>SUM(Scenarios!AJ47:AJ48)</f>
        <v>9.5999999999999988E-2</v>
      </c>
      <c r="I14" s="16"/>
      <c r="J14" s="14"/>
      <c r="K14" s="14"/>
      <c r="L14" s="51">
        <f>AVERAGE(D14:D16)</f>
        <v>8.8366666666666678</v>
      </c>
      <c r="M14" s="51"/>
      <c r="N14" s="51">
        <f>AVERAGE(F14:F16)</f>
        <v>0.53733333333333322</v>
      </c>
      <c r="O14" s="37"/>
      <c r="P14" s="51">
        <f>AVERAGE(H14:H16)</f>
        <v>1.8719999999999999</v>
      </c>
      <c r="Q14" s="37"/>
      <c r="R14" s="12"/>
      <c r="S14" s="9"/>
      <c r="T14" s="9"/>
      <c r="U14" s="9"/>
      <c r="V14" s="9"/>
    </row>
    <row r="15" spans="2:22">
      <c r="C15" t="s">
        <v>109</v>
      </c>
      <c r="D15" s="16">
        <f>SUM(Scenarios!AF49:AF51)</f>
        <v>21.12</v>
      </c>
      <c r="E15" s="16"/>
      <c r="F15" s="16">
        <f>SUM(Scenarios!AH49:AH51)</f>
        <v>1.2799999999999998</v>
      </c>
      <c r="G15" s="16"/>
      <c r="H15" s="16">
        <f>SUM(Scenarios!AJ49:AJ51)</f>
        <v>4.3199999999999994</v>
      </c>
      <c r="I15" s="16"/>
      <c r="L15" s="51"/>
      <c r="O15" s="37">
        <f>N15*(hospitalisation_de/$K$23)</f>
        <v>0</v>
      </c>
      <c r="Q15" s="37">
        <f>P15*($K$27/$K$25)</f>
        <v>0</v>
      </c>
      <c r="R15" s="9"/>
      <c r="U15" s="9"/>
      <c r="V15" s="9"/>
    </row>
    <row r="16" spans="2:22">
      <c r="C16" t="s">
        <v>112</v>
      </c>
      <c r="D16" s="16">
        <f>SUM(Scenarios!AF52:AF52)</f>
        <v>4.9499999999999993</v>
      </c>
      <c r="E16" s="16"/>
      <c r="F16" s="16">
        <f>SUM(Scenarios!AH52:AH52)</f>
        <v>0.29999999999999993</v>
      </c>
      <c r="G16" s="16"/>
      <c r="H16" s="16">
        <f>SUM(Scenarios!AJ52:AJ52)</f>
        <v>1.1999999999999997</v>
      </c>
      <c r="I16" s="16"/>
      <c r="L16" s="51"/>
      <c r="N16">
        <f>N14/L14</f>
        <v>6.0807242549981121E-2</v>
      </c>
      <c r="O16" s="37">
        <f>N16*(hospitalisation_de/$K$23)</f>
        <v>5.1664894893865076</v>
      </c>
      <c r="P16">
        <f>P14/N14</f>
        <v>3.4838709677419359</v>
      </c>
      <c r="Q16" s="37">
        <f>P16*($K$27/$K$25)</f>
        <v>41.198156682027658</v>
      </c>
      <c r="R16" s="9"/>
      <c r="S16" s="5"/>
      <c r="T16" s="9"/>
      <c r="U16" s="9"/>
      <c r="V16" s="9"/>
    </row>
    <row r="17" spans="2:22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5"/>
      <c r="T17" s="9"/>
      <c r="U17" s="9"/>
      <c r="V17" s="9"/>
    </row>
    <row r="18" spans="2:22"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5"/>
      <c r="T18" s="9"/>
      <c r="U18" s="9"/>
      <c r="V18" s="9"/>
    </row>
    <row r="19" spans="2:22"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</row>
    <row r="20" spans="2:22"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5"/>
      <c r="T20" s="9"/>
      <c r="U20" s="9"/>
      <c r="V20" s="9"/>
    </row>
    <row r="21" spans="2:22">
      <c r="B21" s="24" t="s">
        <v>278</v>
      </c>
      <c r="C21" s="9"/>
      <c r="D21" s="97" t="s">
        <v>163</v>
      </c>
      <c r="E21" s="97"/>
      <c r="F21" s="100" t="s">
        <v>164</v>
      </c>
      <c r="G21" s="100"/>
      <c r="H21" s="100"/>
      <c r="I21" s="99" t="s">
        <v>279</v>
      </c>
      <c r="J21" s="99"/>
      <c r="K21" s="99"/>
      <c r="L21" s="99"/>
      <c r="M21" s="9" t="s">
        <v>280</v>
      </c>
      <c r="N21" s="9" t="s">
        <v>281</v>
      </c>
      <c r="O21" s="9"/>
      <c r="P21" s="9"/>
      <c r="Q21" s="9"/>
      <c r="R21" s="9"/>
      <c r="T21" s="9"/>
      <c r="U21" s="9"/>
      <c r="V21" s="9"/>
    </row>
    <row r="22" spans="2:22" ht="28.8">
      <c r="D22" s="10" t="s">
        <v>282</v>
      </c>
      <c r="E22" s="10" t="s">
        <v>283</v>
      </c>
      <c r="F22" t="s">
        <v>284</v>
      </c>
      <c r="G22" s="10" t="s">
        <v>282</v>
      </c>
      <c r="H22" s="10" t="s">
        <v>283</v>
      </c>
      <c r="I22" s="4" t="s">
        <v>285</v>
      </c>
      <c r="J22" s="33" t="s">
        <v>286</v>
      </c>
      <c r="K22" s="12" t="s">
        <v>287</v>
      </c>
      <c r="L22" s="12" t="s">
        <v>288</v>
      </c>
    </row>
    <row r="23" spans="2:22">
      <c r="B23" t="s">
        <v>289</v>
      </c>
      <c r="C23" t="s">
        <v>290</v>
      </c>
      <c r="D23" s="16">
        <f>(hosp_normal_winter_overall*Cost_of_hospitalisation_CH_normalwinter)</f>
        <v>30.877205887469302</v>
      </c>
      <c r="E23" s="16">
        <f>(hosp_normal_winter_overall*Cost_of_hospitalisation_GER_normalwinter)</f>
        <v>10.563000000000001</v>
      </c>
      <c r="F23" s="16">
        <f>(Sick_days_per_infection_normalwinter+hosp_normal_winter_overall*Sick_days_per_hospitalisation_normalwinter)</f>
        <v>3.0510000000000002</v>
      </c>
      <c r="G23" s="16">
        <f>Loss_of_productivity_per_sick_day_CH*F23</f>
        <v>1098.3600000000001</v>
      </c>
      <c r="H23" s="16">
        <f>Loss_of_productivity_per_sick_day_GER*F23</f>
        <v>378.32400000000001</v>
      </c>
      <c r="I23" s="31">
        <f>((1-hosp_normal_winter_overall)*Losses_of_QALYs_normalwinter+hosp_normal_winter_overall*Losses_of_QALYs_hosp_normalwinter)</f>
        <v>3.8240000000000001E-3</v>
      </c>
      <c r="J23" s="32">
        <f>(I23+Mortality_overall_per_infection_winter*QALYs_lost_per_death_normalwinter)</f>
        <v>4.0039999999999997E-3</v>
      </c>
      <c r="K23" s="30">
        <f>J23*QALY_CHF</f>
        <v>700.69999999999993</v>
      </c>
      <c r="L23" s="30">
        <f>J23*QALY_eur</f>
        <v>320.32</v>
      </c>
      <c r="M23" s="37">
        <f>K23+G23+D23</f>
        <v>1829.9372058874692</v>
      </c>
      <c r="N23" s="37">
        <f t="shared" ref="M23:N27" si="0">L23+H23+E23</f>
        <v>709.20699999999999</v>
      </c>
      <c r="R23" s="9"/>
    </row>
    <row r="24" spans="2:22">
      <c r="C24" t="s">
        <v>291</v>
      </c>
      <c r="F24" s="14"/>
      <c r="G24" s="16">
        <f>Loss_of_productivity_per_sick_day_CH*F24</f>
        <v>0</v>
      </c>
      <c r="H24" s="16">
        <f>Loss_of_productivity_per_sick_day_GER*F24</f>
        <v>0</v>
      </c>
      <c r="I24" s="31"/>
      <c r="J24" s="16"/>
      <c r="K24" s="30">
        <f>J24*QALY_CHF</f>
        <v>0</v>
      </c>
      <c r="L24" s="30">
        <f>J24*QALY_eur</f>
        <v>0</v>
      </c>
      <c r="M24" s="37">
        <f t="shared" si="0"/>
        <v>0</v>
      </c>
      <c r="N24" s="37">
        <f t="shared" si="0"/>
        <v>0</v>
      </c>
      <c r="R24" s="9"/>
    </row>
    <row r="25" spans="2:22">
      <c r="B25" t="s">
        <v>292</v>
      </c>
      <c r="C25" t="s">
        <v>290</v>
      </c>
      <c r="D25" s="16">
        <f>(Hospitalisation_rate_overall_covid*Cost_of_hospitalisation_CH+Long_Covid*Cost_of_disability_case_for_healthcare_CH)</f>
        <v>3875</v>
      </c>
      <c r="E25" s="16">
        <f>(cost_hosp_GER_covid*Hospitalisation_rate_overall_covid+Long_Covid*Cost_of_disability_case_for_healthcare_GER)</f>
        <v>1370</v>
      </c>
      <c r="F25" s="16">
        <f>((symptomatic_Covid_case*Sick_days_per_Covid_infection+Hospitalisation_rate_overall_covid*Sick_days_per_Covid_hospitalisation)*(1-Long_Covid)+Long_Covid*Sick_days_per_Long_Covid_case)</f>
        <v>13.125</v>
      </c>
      <c r="G25" s="16">
        <f>Loss_of_productivity_per_sick_day_CH*F25</f>
        <v>4725</v>
      </c>
      <c r="H25" s="16">
        <f>Loss_of_productivity_per_sick_day_GER*F25</f>
        <v>1627.5</v>
      </c>
      <c r="I25" s="31">
        <f>((1-Hospitalisation_rate_overall_covid-Long_Covid)*symptomatic_Covid_case*Losses_of_QALYs_Covid_case+Hospitalisation_rate_overall_covid*Losses_of_QALYs_Covid_hospitalisation+Long_Covid*Losses_of_QALYs_long_Covid)</f>
        <v>1.0200000000000001E-2</v>
      </c>
      <c r="J25" s="32">
        <f>(I25+symptomatic_Covid_case*Mortality_Covid_overall*QUALYs_lost_per_death_covid)</f>
        <v>0.34019999999999995</v>
      </c>
      <c r="K25" s="30">
        <f>J25*QALY_CHF</f>
        <v>59534.999999999993</v>
      </c>
      <c r="L25" s="30">
        <f>J25*QALY_eur</f>
        <v>27215.999999999996</v>
      </c>
      <c r="M25" s="37">
        <f t="shared" si="0"/>
        <v>68135</v>
      </c>
      <c r="N25" s="37">
        <f t="shared" si="0"/>
        <v>30213.499999999996</v>
      </c>
      <c r="R25" s="9"/>
    </row>
    <row r="26" spans="2:22">
      <c r="C26" t="s">
        <v>291</v>
      </c>
      <c r="D26" s="16">
        <f>(Hospitalisation_rate_18_59y_covid*Cost_of_hospitalisation_CH+Long_Covid*Cost_of_disability_case_for_healthcare_CH)</f>
        <v>1848.25</v>
      </c>
      <c r="E26" s="16">
        <f>(cost_hosp_GER_covid*Hospitalisation_rate_18_59y_covid+Long_Covid*Cost_of_disability_case_for_healthcare_GER)</f>
        <v>653.1</v>
      </c>
      <c r="F26" s="16">
        <f>((symptomatic_Covid_case*Sick_days_per_Covid_infection+Hospitalisation_rate_18_59y_covid*Sick_days_per_Covid_hospitalisation)*(1-Long_Covid)+Long_Covid*Sick_days_per_Long_Covid_case)</f>
        <v>12.220500000000001</v>
      </c>
      <c r="G26" s="16">
        <f>Loss_of_productivity_per_sick_day_CH*F26</f>
        <v>4399.38</v>
      </c>
      <c r="H26" s="16">
        <f>Loss_of_productivity_per_sick_day_GER*F26</f>
        <v>1515.3420000000001</v>
      </c>
      <c r="I26" s="31">
        <f>((1-Hospitalisation_rate_18_59y_covid-Long_Covid)*symptomatic_Covid_case*Losses_of_QALYs_Covid_case+Hospitalisation_rate_18_59y_covid*Losses_of_QALYs_Covid_hospitalisation+Long_Covid*Losses_of_QALYs_long_Covid)</f>
        <v>9.2619999999999994E-3</v>
      </c>
      <c r="J26" s="32"/>
      <c r="K26" s="30">
        <f>J26*QALY_CHF</f>
        <v>0</v>
      </c>
      <c r="L26" s="30">
        <f>J26*QALY_eur</f>
        <v>0</v>
      </c>
      <c r="M26" s="37">
        <f t="shared" si="0"/>
        <v>6247.63</v>
      </c>
      <c r="N26" s="37">
        <f t="shared" si="0"/>
        <v>2168.442</v>
      </c>
      <c r="R26" s="9"/>
    </row>
    <row r="27" spans="2:22">
      <c r="B27" t="s">
        <v>293</v>
      </c>
      <c r="C27" t="s">
        <v>290</v>
      </c>
      <c r="D27" s="16">
        <f>(Hospitalisation_rate_overall_severe*Cost_of_hospitalisation_CH+disability_induced_severe*Cost_of_disability_case_for_healthcare_CH)</f>
        <v>9925</v>
      </c>
      <c r="E27" s="16">
        <f>(Hospitalisation_rate_overall_severe*Cost_of_hospitalisation_GER_normalwinter+disability_induced_severe*Cost_of_disability_case_for_healthcare_GER)</f>
        <v>1356.3</v>
      </c>
      <c r="F27" s="16">
        <f>(Sick_days_per_infection_severe+Hospitalisation_rate_overall_severe*Sick_days_per_infection___hospitalisation_severe+disability_induced_severe*Sick_days_per_case_of_disability)</f>
        <v>26</v>
      </c>
      <c r="G27" s="16">
        <f>Loss_of_productivity_per_sick_day_CH*F27</f>
        <v>9360</v>
      </c>
      <c r="H27" s="16">
        <f>Loss_of_productivity_per_sick_day_GER*F27</f>
        <v>3224</v>
      </c>
      <c r="I27" s="31">
        <f>((1-Hospitalisation_rate_overall_severe-disability_induced_severe)*Losses_of_QALYs_infection_severe+Hospitalisation_rate_overall_severe*Losses_of_QALYs_hosp_severe+disability_induced_severe*Losses_from_disab_severe)</f>
        <v>2.3000000000000003E-2</v>
      </c>
      <c r="J27" s="32">
        <f>(I27+Mortality_overall_severe*QALYs_lost_per_death_severe)</f>
        <v>4.0229999999999997</v>
      </c>
      <c r="K27" s="30">
        <f>J27*QALY_CHF</f>
        <v>704025</v>
      </c>
      <c r="L27" s="30">
        <f>J27*QALY_eur</f>
        <v>321840</v>
      </c>
      <c r="M27" s="37">
        <f t="shared" si="0"/>
        <v>723310</v>
      </c>
      <c r="N27" s="38">
        <f t="shared" si="0"/>
        <v>326420.3</v>
      </c>
      <c r="R27" s="9"/>
    </row>
    <row r="28" spans="2:22">
      <c r="C28" t="s">
        <v>291</v>
      </c>
      <c r="R28" s="9"/>
    </row>
    <row r="32" spans="2:22">
      <c r="B32" s="24" t="s">
        <v>294</v>
      </c>
      <c r="C32" t="s">
        <v>465</v>
      </c>
    </row>
    <row r="33" spans="2:15" ht="32.549999999999997" customHeight="1">
      <c r="C33" t="s">
        <v>290</v>
      </c>
      <c r="D33" s="95" t="s">
        <v>265</v>
      </c>
      <c r="E33" s="95"/>
      <c r="F33" s="95" t="s">
        <v>266</v>
      </c>
      <c r="G33" s="95"/>
      <c r="H33" s="95" t="s">
        <v>267</v>
      </c>
      <c r="I33" s="95"/>
      <c r="J33" s="95" t="s">
        <v>268</v>
      </c>
      <c r="K33" s="95"/>
      <c r="L33" s="95" t="s">
        <v>296</v>
      </c>
      <c r="M33" s="95"/>
      <c r="N33" s="95" t="s">
        <v>270</v>
      </c>
      <c r="O33" s="95"/>
    </row>
    <row r="34" spans="2:15" ht="19.8" customHeight="1">
      <c r="B34" s="35" t="s">
        <v>163</v>
      </c>
      <c r="D34" s="10" t="s">
        <v>282</v>
      </c>
      <c r="E34" s="10" t="s">
        <v>283</v>
      </c>
      <c r="F34" s="10" t="s">
        <v>282</v>
      </c>
      <c r="G34" s="10" t="s">
        <v>283</v>
      </c>
      <c r="H34" s="10" t="s">
        <v>282</v>
      </c>
      <c r="I34" s="10" t="s">
        <v>283</v>
      </c>
      <c r="J34" s="10" t="s">
        <v>282</v>
      </c>
      <c r="K34" s="10" t="s">
        <v>283</v>
      </c>
      <c r="L34" s="10" t="s">
        <v>282</v>
      </c>
      <c r="M34" s="10" t="s">
        <v>283</v>
      </c>
      <c r="N34" s="10" t="s">
        <v>282</v>
      </c>
      <c r="O34" s="10" t="s">
        <v>283</v>
      </c>
    </row>
    <row r="35" spans="2:15">
      <c r="B35" s="9" t="s">
        <v>166</v>
      </c>
      <c r="C35" s="9" t="s">
        <v>271</v>
      </c>
      <c r="D35" s="36">
        <f>D23*D6</f>
        <v>10067.204207550491</v>
      </c>
      <c r="E35" s="36">
        <f>E23*D6</f>
        <v>3443.9605199999996</v>
      </c>
      <c r="F35" s="68">
        <f>D23*E6</f>
        <v>8321.4069866729769</v>
      </c>
      <c r="G35" s="68">
        <f>E23*E6</f>
        <v>2846.7285000000002</v>
      </c>
      <c r="H35" s="36">
        <f>D25*F6</f>
        <v>78740</v>
      </c>
      <c r="I35" s="36">
        <f>E25*F6</f>
        <v>27838.400000000001</v>
      </c>
      <c r="J35" s="68">
        <f>D25*G6</f>
        <v>63860.000000000015</v>
      </c>
      <c r="K35" s="68">
        <f>E25*G6</f>
        <v>22577.600000000006</v>
      </c>
      <c r="L35" s="36">
        <f>D27*H6</f>
        <v>636788</v>
      </c>
      <c r="M35" s="36">
        <f>E27*H6</f>
        <v>87020.207999999999</v>
      </c>
      <c r="N35" s="68">
        <f>D27*I6</f>
        <v>528010.00000000012</v>
      </c>
      <c r="O35" s="68">
        <f>E27*I6</f>
        <v>72155.160000000018</v>
      </c>
    </row>
    <row r="36" spans="2:15">
      <c r="C36" t="s">
        <v>272</v>
      </c>
      <c r="D36" s="68">
        <f>D23*D7</f>
        <v>57937.37158312965</v>
      </c>
      <c r="E36" s="68">
        <f>E23*D7</f>
        <v>19820.201940000003</v>
      </c>
      <c r="F36" s="36">
        <f>D23*E7</f>
        <v>16078.996193840765</v>
      </c>
      <c r="G36" s="36">
        <f>E23*E7</f>
        <v>5500.5766200000007</v>
      </c>
      <c r="H36" s="68">
        <f>D25*F7</f>
        <v>327825</v>
      </c>
      <c r="I36" s="68">
        <f>E25*F7</f>
        <v>115901.99999999999</v>
      </c>
      <c r="J36" s="36">
        <f>D25*G7</f>
        <v>90520</v>
      </c>
      <c r="K36" s="36">
        <f>E25*G7</f>
        <v>32003.200000000001</v>
      </c>
      <c r="L36" s="68">
        <f>D27*H7</f>
        <v>3298276</v>
      </c>
      <c r="M36" s="68">
        <f>E27*H7</f>
        <v>450725.61599999998</v>
      </c>
      <c r="N36" s="36">
        <f>D27*I7</f>
        <v>920246</v>
      </c>
      <c r="O36" s="36">
        <f>E27*I7</f>
        <v>125756.136</v>
      </c>
    </row>
    <row r="37" spans="2:15">
      <c r="C37" t="s">
        <v>274</v>
      </c>
      <c r="D37" s="68">
        <f>D23*D8</f>
        <v>3478.0084711645427</v>
      </c>
      <c r="E37" s="68">
        <f>E23*D8</f>
        <v>1189.8163200000001</v>
      </c>
      <c r="F37" s="36">
        <f>D23*E8</f>
        <v>869.50211779113567</v>
      </c>
      <c r="G37" s="36">
        <f>E23*E8</f>
        <v>297.45408000000003</v>
      </c>
      <c r="H37" s="68">
        <f>D25*F8</f>
        <v>19840.000000000004</v>
      </c>
      <c r="I37" s="68">
        <f>D8*F25</f>
        <v>1478.4</v>
      </c>
      <c r="J37" s="36">
        <f>D25*G8</f>
        <v>4960.0000000000009</v>
      </c>
      <c r="K37" s="36">
        <f>E25*G8</f>
        <v>1753.6000000000004</v>
      </c>
      <c r="L37" s="68">
        <f>D27*H8</f>
        <v>203264.00000000003</v>
      </c>
      <c r="M37" s="68">
        <f>E27*H8</f>
        <v>27777.024000000005</v>
      </c>
      <c r="N37" s="36">
        <f>D27*I8</f>
        <v>50816.000000000007</v>
      </c>
      <c r="O37" s="36">
        <f>E27*I8</f>
        <v>6944.2560000000012</v>
      </c>
    </row>
    <row r="38" spans="2:15">
      <c r="C38" t="s">
        <v>72</v>
      </c>
      <c r="D38" s="36">
        <f>D23*D9</f>
        <v>5753.6585450710299</v>
      </c>
      <c r="E38" s="36">
        <f>E23*D9</f>
        <v>1968.30942</v>
      </c>
      <c r="F38" s="68">
        <f>D23*E9</f>
        <v>4408.6474566128663</v>
      </c>
      <c r="G38" s="68">
        <f>E23*E9</f>
        <v>1508.1851399999998</v>
      </c>
      <c r="H38" s="36">
        <f>D25*F9</f>
        <v>28520</v>
      </c>
      <c r="I38" s="36">
        <f>E25*F9</f>
        <v>10083.200000000001</v>
      </c>
      <c r="J38" s="68">
        <f>D25*G9</f>
        <v>19839.999999999996</v>
      </c>
      <c r="K38" s="68">
        <f>E25*G9</f>
        <v>7014.3999999999987</v>
      </c>
      <c r="L38" s="36">
        <f>D27*H9</f>
        <v>326334</v>
      </c>
      <c r="M38" s="36">
        <f>E27*H9</f>
        <v>44595.144</v>
      </c>
      <c r="N38" s="68">
        <f>D27*I9</f>
        <v>252491.99999999997</v>
      </c>
      <c r="O38" s="68">
        <f>E27*I9</f>
        <v>34504.271999999997</v>
      </c>
    </row>
    <row r="39" spans="2:15">
      <c r="B39" t="s">
        <v>79</v>
      </c>
      <c r="C39" t="s">
        <v>80</v>
      </c>
      <c r="D39" s="68">
        <f>D23*D10</f>
        <v>346.44225005740566</v>
      </c>
      <c r="E39" s="68">
        <f>E23*D10</f>
        <v>118.51686000000004</v>
      </c>
      <c r="F39" s="36">
        <f>D23*E10</f>
        <v>176.61761767632439</v>
      </c>
      <c r="G39" s="36">
        <f>E23*E10</f>
        <v>60.420360000000002</v>
      </c>
      <c r="H39" s="68">
        <f>D25*F10</f>
        <v>2945.0000000000005</v>
      </c>
      <c r="I39" s="68">
        <f>E25*F10</f>
        <v>1041.2000000000003</v>
      </c>
      <c r="J39" s="36">
        <f>D25*G10</f>
        <v>1395</v>
      </c>
      <c r="K39" s="36">
        <f>E25*G10</f>
        <v>493.2</v>
      </c>
      <c r="L39" s="68">
        <f>D27*H10</f>
        <v>23026.000000000004</v>
      </c>
      <c r="M39" s="68">
        <f>E27*H10</f>
        <v>3146.6160000000004</v>
      </c>
      <c r="N39" s="36">
        <f>D27*I10</f>
        <v>11115.999999999998</v>
      </c>
      <c r="O39" s="36">
        <f>E27*I10</f>
        <v>1519.0559999999998</v>
      </c>
    </row>
    <row r="40" spans="2:15">
      <c r="B40" t="s">
        <v>89</v>
      </c>
      <c r="C40" t="s">
        <v>275</v>
      </c>
      <c r="D40" s="68">
        <f>D23*D11</f>
        <v>326.06329417167592</v>
      </c>
      <c r="E40" s="68">
        <f>E23*D11</f>
        <v>111.54528000000003</v>
      </c>
      <c r="F40" s="36">
        <f>D23*E11</f>
        <v>163.0316470858379</v>
      </c>
      <c r="G40" s="36">
        <f>E23*E11</f>
        <v>55.772639999999996</v>
      </c>
      <c r="H40" s="68">
        <f>D25*F11</f>
        <v>1860.0000000000005</v>
      </c>
      <c r="I40" s="68">
        <f>E25*F11</f>
        <v>657.60000000000014</v>
      </c>
      <c r="J40" s="36">
        <f>D25*G11</f>
        <v>930</v>
      </c>
      <c r="K40" s="36">
        <f>E25*G11</f>
        <v>328.8</v>
      </c>
      <c r="L40" s="68">
        <f>D27*H11</f>
        <v>19056.000000000004</v>
      </c>
      <c r="M40" s="68">
        <f>E27*H11</f>
        <v>2604.0960000000005</v>
      </c>
      <c r="N40" s="36">
        <f>D27*I11</f>
        <v>9528</v>
      </c>
      <c r="O40" s="36">
        <f>E27*I11</f>
        <v>1302.048</v>
      </c>
    </row>
    <row r="41" spans="2:15">
      <c r="C41" t="s">
        <v>276</v>
      </c>
      <c r="D41" s="68">
        <f>D23*D12</f>
        <v>1630.316470858379</v>
      </c>
      <c r="E41" s="68">
        <f>E23*D12</f>
        <v>557.72640000000001</v>
      </c>
      <c r="F41" s="36">
        <f>D23*E12</f>
        <v>679.29852952432464</v>
      </c>
      <c r="G41" s="36">
        <f>E23*E12</f>
        <v>232.38600000000002</v>
      </c>
      <c r="H41" s="68">
        <f>D25*F12</f>
        <v>9300</v>
      </c>
      <c r="I41" s="68">
        <f>E25*F12</f>
        <v>3288</v>
      </c>
      <c r="J41" s="36">
        <f>D25*G12</f>
        <v>3875</v>
      </c>
      <c r="K41" s="36">
        <f>E25*G12</f>
        <v>1370</v>
      </c>
      <c r="L41" s="68">
        <f>D27*H12</f>
        <v>95280</v>
      </c>
      <c r="M41" s="68">
        <f>E27*H12</f>
        <v>13020.48</v>
      </c>
      <c r="N41" s="36">
        <f>D27*I12</f>
        <v>39700</v>
      </c>
      <c r="O41" s="36">
        <f>E27*I12</f>
        <v>5425.2</v>
      </c>
    </row>
    <row r="42" spans="2:15">
      <c r="C42" t="s">
        <v>277</v>
      </c>
      <c r="D42" s="68">
        <f>D23*D13</f>
        <v>258.13344121924342</v>
      </c>
      <c r="E42" s="68">
        <f>E23*D13</f>
        <v>88.306680000000014</v>
      </c>
      <c r="F42" s="36">
        <f>D23*E13</f>
        <v>135.85970590486491</v>
      </c>
      <c r="G42" s="36">
        <f>E23*E13</f>
        <v>46.477199999999996</v>
      </c>
      <c r="H42" s="68">
        <f>D25*F13</f>
        <v>1549.9999999999998</v>
      </c>
      <c r="I42" s="68">
        <f>E25*F13</f>
        <v>548</v>
      </c>
      <c r="J42" s="36">
        <f>D25*G13</f>
        <v>619.99999999999989</v>
      </c>
      <c r="K42" s="36">
        <f>E25*G13</f>
        <v>219.19999999999996</v>
      </c>
      <c r="L42" s="68">
        <f>D27*H13</f>
        <v>15086</v>
      </c>
      <c r="M42" s="68">
        <f>E27*H13</f>
        <v>2061.576</v>
      </c>
      <c r="N42" s="36">
        <f>D27*I13</f>
        <v>7939.9999999999991</v>
      </c>
      <c r="O42" s="36">
        <f>E27*I13</f>
        <v>1085.04</v>
      </c>
    </row>
    <row r="43" spans="2:15">
      <c r="B43" s="9" t="s">
        <v>75</v>
      </c>
      <c r="C43" s="9" t="s">
        <v>103</v>
      </c>
      <c r="D43" s="36">
        <f>D23*D14</f>
        <v>13.585970590486491</v>
      </c>
      <c r="E43" s="36">
        <f>E23*D14</f>
        <v>4.6477199999999996</v>
      </c>
      <c r="H43" s="36">
        <f>D25*F14</f>
        <v>123.99999999999997</v>
      </c>
      <c r="I43" s="36">
        <f>E25*F14</f>
        <v>43.839999999999989</v>
      </c>
      <c r="L43" s="36">
        <f>D27*H14</f>
        <v>952.79999999999984</v>
      </c>
      <c r="M43" s="36">
        <f>E27*H14</f>
        <v>130.20479999999998</v>
      </c>
    </row>
    <row r="44" spans="2:15">
      <c r="C44" t="s">
        <v>109</v>
      </c>
      <c r="D44" s="36">
        <f>D23*D15</f>
        <v>652.12658834335173</v>
      </c>
      <c r="E44" s="36">
        <f>E23*D15</f>
        <v>223.09056000000001</v>
      </c>
      <c r="H44" s="36">
        <f>D25*F15</f>
        <v>4959.9999999999991</v>
      </c>
      <c r="I44" s="36">
        <f>E25*F15</f>
        <v>1753.5999999999997</v>
      </c>
      <c r="L44" s="36">
        <f>D27*H15</f>
        <v>42875.999999999993</v>
      </c>
      <c r="M44" s="36">
        <f>E27*H15</f>
        <v>5859.2159999999985</v>
      </c>
    </row>
    <row r="45" spans="2:15">
      <c r="C45" t="s">
        <v>112</v>
      </c>
      <c r="D45" s="36">
        <f>D23*D16</f>
        <v>152.84216914297303</v>
      </c>
      <c r="E45" s="36">
        <f>E23*D16</f>
        <v>52.286849999999994</v>
      </c>
      <c r="H45" s="36">
        <f>D25*F16</f>
        <v>1162.4999999999998</v>
      </c>
      <c r="I45" s="36">
        <f>E25*F16</f>
        <v>410.99999999999989</v>
      </c>
      <c r="L45" s="36">
        <f>D27*H16</f>
        <v>11909.999999999998</v>
      </c>
      <c r="M45" s="36">
        <f>E27*H16</f>
        <v>1627.5599999999995</v>
      </c>
    </row>
    <row r="46" spans="2:15">
      <c r="D46" s="9"/>
      <c r="E46" s="9"/>
      <c r="F46" s="9"/>
      <c r="H46" s="9"/>
      <c r="I46" s="9"/>
      <c r="J46" s="9"/>
      <c r="K46" s="9"/>
      <c r="L46" s="9"/>
      <c r="M46" s="9"/>
      <c r="N46" s="9"/>
      <c r="O46" s="9"/>
    </row>
    <row r="47" spans="2:1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</row>
    <row r="48" spans="2:1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</row>
    <row r="49" spans="2:15" ht="32.549999999999997" customHeight="1">
      <c r="C49" t="s">
        <v>290</v>
      </c>
      <c r="D49" s="95" t="s">
        <v>265</v>
      </c>
      <c r="E49" s="95"/>
      <c r="F49" s="95" t="s">
        <v>266</v>
      </c>
      <c r="G49" s="95"/>
      <c r="H49" s="95" t="s">
        <v>267</v>
      </c>
      <c r="I49" s="95"/>
      <c r="J49" s="95" t="s">
        <v>268</v>
      </c>
      <c r="K49" s="95"/>
      <c r="L49" s="95" t="s">
        <v>296</v>
      </c>
      <c r="M49" s="95"/>
      <c r="N49" s="95" t="s">
        <v>270</v>
      </c>
      <c r="O49" s="95"/>
    </row>
    <row r="50" spans="2:15" ht="19.8" customHeight="1">
      <c r="B50" s="39" t="s">
        <v>164</v>
      </c>
      <c r="D50" s="10" t="s">
        <v>282</v>
      </c>
      <c r="E50" s="10" t="s">
        <v>283</v>
      </c>
      <c r="F50" s="10" t="s">
        <v>282</v>
      </c>
      <c r="G50" s="10" t="s">
        <v>283</v>
      </c>
      <c r="H50" s="10" t="s">
        <v>282</v>
      </c>
      <c r="I50" s="10" t="s">
        <v>283</v>
      </c>
      <c r="J50" s="10" t="s">
        <v>282</v>
      </c>
      <c r="K50" s="10" t="s">
        <v>283</v>
      </c>
      <c r="L50" s="10" t="s">
        <v>282</v>
      </c>
      <c r="M50" s="10" t="s">
        <v>283</v>
      </c>
      <c r="N50" s="10" t="s">
        <v>282</v>
      </c>
      <c r="O50" s="10" t="s">
        <v>283</v>
      </c>
    </row>
    <row r="51" spans="2:15">
      <c r="B51" s="9" t="s">
        <v>166</v>
      </c>
      <c r="C51" s="9" t="s">
        <v>271</v>
      </c>
      <c r="D51" s="36">
        <f>G23*D6</f>
        <v>358109.29440000001</v>
      </c>
      <c r="E51" s="36">
        <f>H23*D6</f>
        <v>123348.75695999998</v>
      </c>
      <c r="F51" s="68">
        <f>G23*E6</f>
        <v>296008.02</v>
      </c>
      <c r="G51" s="68">
        <f>H23*E6</f>
        <v>101958.318</v>
      </c>
      <c r="H51" s="36">
        <f>G25*F6</f>
        <v>96012</v>
      </c>
      <c r="I51" s="36">
        <f>H25*F6</f>
        <v>33070.800000000003</v>
      </c>
      <c r="J51" s="68">
        <f>G25*G6</f>
        <v>77868.000000000015</v>
      </c>
      <c r="K51" s="68">
        <f>H25*G6</f>
        <v>26821.200000000008</v>
      </c>
      <c r="L51" s="36">
        <f>G27*H6</f>
        <v>600537.59999999998</v>
      </c>
      <c r="M51" s="36">
        <f>H27*H6</f>
        <v>206851.84</v>
      </c>
      <c r="N51" s="68">
        <f>G27*I6</f>
        <v>497952.00000000012</v>
      </c>
      <c r="O51" s="68">
        <f>H27*I6</f>
        <v>171516.80000000005</v>
      </c>
    </row>
    <row r="52" spans="2:15">
      <c r="C52" t="s">
        <v>272</v>
      </c>
      <c r="D52" s="68">
        <f>G23*D7</f>
        <v>2060940.7368000003</v>
      </c>
      <c r="E52" s="68">
        <f>H23*D7</f>
        <v>709879.58712000004</v>
      </c>
      <c r="F52" s="36">
        <f>G23*E7</f>
        <v>571959.98640000005</v>
      </c>
      <c r="G52" s="36">
        <f>H23*E7</f>
        <v>197008.43976000001</v>
      </c>
      <c r="H52" s="68">
        <f>G25*F7</f>
        <v>399735</v>
      </c>
      <c r="I52" s="68">
        <f>H25*F7</f>
        <v>137686.5</v>
      </c>
      <c r="J52" s="36">
        <f>G25*G7</f>
        <v>110376</v>
      </c>
      <c r="K52" s="36">
        <f>H25*G7</f>
        <v>38018.400000000001</v>
      </c>
      <c r="L52" s="68">
        <f>G27*H7</f>
        <v>3110515.1999999997</v>
      </c>
      <c r="M52" s="68">
        <f>H27*H7</f>
        <v>1071399.68</v>
      </c>
      <c r="N52" s="36">
        <f>G27*I7</f>
        <v>867859.2</v>
      </c>
      <c r="O52" s="36">
        <f>H27*I7</f>
        <v>298929.27999999997</v>
      </c>
    </row>
    <row r="53" spans="2:15">
      <c r="C53" t="s">
        <v>274</v>
      </c>
      <c r="D53" s="68">
        <f>G23*D8</f>
        <v>123719.27040000004</v>
      </c>
      <c r="E53" s="68">
        <f>H23*D8</f>
        <v>42614.415360000006</v>
      </c>
      <c r="F53" s="36">
        <f>G23*E8</f>
        <v>30929.817600000009</v>
      </c>
      <c r="G53" s="36">
        <f>H23*E8</f>
        <v>10653.603840000002</v>
      </c>
      <c r="H53" s="68">
        <f>G25*F8</f>
        <v>24192.000000000004</v>
      </c>
      <c r="I53" s="68">
        <f>H25*F8</f>
        <v>8332.8000000000011</v>
      </c>
      <c r="J53" s="36">
        <f>G25*G8</f>
        <v>6048.0000000000009</v>
      </c>
      <c r="K53" s="36">
        <f>H25*G8</f>
        <v>2083.2000000000003</v>
      </c>
      <c r="L53" s="68">
        <f>G27*H8</f>
        <v>191692.80000000005</v>
      </c>
      <c r="M53" s="68">
        <f>H27*H8</f>
        <v>66027.520000000019</v>
      </c>
      <c r="N53" s="36">
        <f>G27*I8</f>
        <v>47923.200000000012</v>
      </c>
      <c r="O53" s="36">
        <f>H27*I8</f>
        <v>16506.880000000005</v>
      </c>
    </row>
    <row r="54" spans="2:15">
      <c r="C54" t="s">
        <v>72</v>
      </c>
      <c r="D54" s="36">
        <f>G23*D9</f>
        <v>204668.40240000002</v>
      </c>
      <c r="E54" s="36">
        <f>H23*D9</f>
        <v>70496.894160000011</v>
      </c>
      <c r="F54" s="68">
        <f>G23*E9</f>
        <v>156823.84079999998</v>
      </c>
      <c r="G54" s="68">
        <f>H23*E9</f>
        <v>54017.100719999995</v>
      </c>
      <c r="H54" s="36">
        <f>G25*F9</f>
        <v>34776</v>
      </c>
      <c r="I54" s="36">
        <f>H25*F9</f>
        <v>11978.4</v>
      </c>
      <c r="J54" s="68">
        <f>G25*G9</f>
        <v>24191.999999999996</v>
      </c>
      <c r="K54" s="68">
        <f>H25*G9</f>
        <v>8332.7999999999993</v>
      </c>
      <c r="L54" s="36">
        <f>G27*H9</f>
        <v>307756.80000000005</v>
      </c>
      <c r="M54" s="36">
        <f>H27*H9</f>
        <v>106005.12000000001</v>
      </c>
      <c r="N54" s="68">
        <f>G27*I9</f>
        <v>238118.39999999997</v>
      </c>
      <c r="O54" s="68">
        <f>H27*I9</f>
        <v>82018.559999999998</v>
      </c>
    </row>
    <row r="55" spans="2:15">
      <c r="B55" t="s">
        <v>79</v>
      </c>
      <c r="C55" t="s">
        <v>80</v>
      </c>
      <c r="D55" s="68">
        <f>G23*D10</f>
        <v>12323.599200000004</v>
      </c>
      <c r="E55" s="68">
        <f>H23*D10</f>
        <v>4244.7952800000012</v>
      </c>
      <c r="F55" s="36">
        <f>G23*E10</f>
        <v>6282.6192000000001</v>
      </c>
      <c r="G55" s="36">
        <f>H23*E10</f>
        <v>2164.0132800000001</v>
      </c>
      <c r="H55" s="68">
        <f>G25*F10</f>
        <v>3591.0000000000005</v>
      </c>
      <c r="I55" s="68">
        <f>H25*F10</f>
        <v>1236.9000000000001</v>
      </c>
      <c r="J55" s="36">
        <f>G25*G10</f>
        <v>1701</v>
      </c>
      <c r="K55" s="36">
        <f>H25*G10</f>
        <v>585.9</v>
      </c>
      <c r="L55" s="68">
        <f>G27*H10</f>
        <v>21715.200000000004</v>
      </c>
      <c r="M55" s="68">
        <f>H27*H10</f>
        <v>7479.6800000000012</v>
      </c>
      <c r="N55" s="36">
        <f>G27*I10</f>
        <v>10483.199999999999</v>
      </c>
      <c r="O55" s="36">
        <f>H27*I10</f>
        <v>3610.8799999999997</v>
      </c>
    </row>
    <row r="56" spans="2:15">
      <c r="B56" t="s">
        <v>89</v>
      </c>
      <c r="C56" t="s">
        <v>275</v>
      </c>
      <c r="D56" s="68">
        <f>G23*D11</f>
        <v>11598.681600000004</v>
      </c>
      <c r="E56" s="68">
        <f>H23*D11</f>
        <v>3995.1014400000008</v>
      </c>
      <c r="F56" s="36">
        <f>G23*E11</f>
        <v>5799.3407999999999</v>
      </c>
      <c r="G56" s="36">
        <f>H23*E11</f>
        <v>1997.5507199999997</v>
      </c>
      <c r="H56" s="68">
        <f>G25*F11</f>
        <v>2268.0000000000005</v>
      </c>
      <c r="I56" s="68">
        <f>H25*F11</f>
        <v>781.20000000000016</v>
      </c>
      <c r="J56" s="36">
        <f>G25*G11</f>
        <v>1134</v>
      </c>
      <c r="K56" s="36">
        <f>H25*G11</f>
        <v>390.59999999999997</v>
      </c>
      <c r="L56" s="68">
        <f>G27*H11</f>
        <v>17971.200000000004</v>
      </c>
      <c r="M56" s="68">
        <f>H27*H11</f>
        <v>6190.0800000000008</v>
      </c>
      <c r="N56" s="36">
        <f>G27*I11</f>
        <v>8985.6</v>
      </c>
      <c r="O56" s="36">
        <f>H27*I11</f>
        <v>3095.04</v>
      </c>
    </row>
    <row r="57" spans="2:15">
      <c r="C57" t="s">
        <v>276</v>
      </c>
      <c r="D57" s="68">
        <f>G23*D12</f>
        <v>57993.408000000003</v>
      </c>
      <c r="E57" s="68">
        <f>H23*D12</f>
        <v>19975.5072</v>
      </c>
      <c r="F57" s="36">
        <f>G23*E12</f>
        <v>24163.920000000002</v>
      </c>
      <c r="G57" s="36">
        <f>H23*E12</f>
        <v>8323.1280000000006</v>
      </c>
      <c r="H57" s="68">
        <f>G25*F12</f>
        <v>11340</v>
      </c>
      <c r="I57" s="68">
        <f>H25*F12</f>
        <v>3906</v>
      </c>
      <c r="J57" s="36">
        <f>G25*G12</f>
        <v>4725</v>
      </c>
      <c r="K57" s="36">
        <f>H25*G12</f>
        <v>1627.5</v>
      </c>
      <c r="L57" s="68">
        <f>G27*H12</f>
        <v>89856</v>
      </c>
      <c r="M57" s="68">
        <f>H27*H12</f>
        <v>30950.399999999998</v>
      </c>
      <c r="N57" s="36">
        <f>G27*I12</f>
        <v>37440</v>
      </c>
      <c r="O57" s="36">
        <f>H27*I12</f>
        <v>12896</v>
      </c>
    </row>
    <row r="58" spans="2:15">
      <c r="C58" t="s">
        <v>277</v>
      </c>
      <c r="D58" s="68">
        <f>G23*D13</f>
        <v>9182.2896000000019</v>
      </c>
      <c r="E58" s="68">
        <f>H23*D13</f>
        <v>3162.7886400000007</v>
      </c>
      <c r="F58" s="36">
        <f>G23*E13</f>
        <v>4832.7839999999997</v>
      </c>
      <c r="G58" s="36">
        <f>H23*E13</f>
        <v>1664.6255999999998</v>
      </c>
      <c r="H58" s="68">
        <f>G25*F13</f>
        <v>1889.9999999999998</v>
      </c>
      <c r="I58" s="68">
        <f>H25*F13</f>
        <v>651</v>
      </c>
      <c r="J58" s="36">
        <f>G25*G13</f>
        <v>755.99999999999989</v>
      </c>
      <c r="K58" s="36">
        <f>H25*G13</f>
        <v>260.39999999999998</v>
      </c>
      <c r="L58" s="68">
        <f>G27*H13</f>
        <v>14227.2</v>
      </c>
      <c r="M58" s="68">
        <f>H27*H13</f>
        <v>4900.4800000000005</v>
      </c>
      <c r="N58" s="36">
        <f>G27*I13</f>
        <v>7487.9999999999991</v>
      </c>
      <c r="O58" s="36">
        <f>H27*I13</f>
        <v>2579.1999999999998</v>
      </c>
    </row>
    <row r="59" spans="2:15">
      <c r="B59" s="9" t="s">
        <v>75</v>
      </c>
      <c r="C59" s="9" t="s">
        <v>103</v>
      </c>
      <c r="D59" s="36">
        <f>G23*D14</f>
        <v>483.27839999999998</v>
      </c>
      <c r="E59" s="36">
        <f>H23*D14</f>
        <v>166.46256</v>
      </c>
      <c r="H59" s="36">
        <f>G25*F14</f>
        <v>151.19999999999996</v>
      </c>
      <c r="I59" s="36">
        <f>H25*F14</f>
        <v>52.079999999999991</v>
      </c>
      <c r="L59" s="36">
        <f>G27*H14</f>
        <v>898.56</v>
      </c>
      <c r="M59" s="36">
        <f>H27*H14</f>
        <v>309.50399999999996</v>
      </c>
    </row>
    <row r="60" spans="2:15">
      <c r="C60" t="s">
        <v>109</v>
      </c>
      <c r="D60" s="36">
        <f>G23*D15</f>
        <v>23197.363200000003</v>
      </c>
      <c r="E60" s="36">
        <f>H23*D15</f>
        <v>7990.2028800000007</v>
      </c>
      <c r="H60" s="36" cm="1">
        <f t="array" ref="H60">G25*_xlfn.ANCHORARRAY(F15)</f>
        <v>6047.9999999999991</v>
      </c>
      <c r="I60" s="36">
        <f>H25*F15</f>
        <v>2083.1999999999998</v>
      </c>
      <c r="L60" s="36">
        <f>G27*H15</f>
        <v>40435.199999999997</v>
      </c>
      <c r="M60" s="36">
        <f>H27*H15</f>
        <v>13927.679999999998</v>
      </c>
    </row>
    <row r="61" spans="2:15">
      <c r="C61" t="s">
        <v>112</v>
      </c>
      <c r="D61" s="36">
        <f>G23*D16</f>
        <v>5436.8819999999996</v>
      </c>
      <c r="E61" s="36">
        <f>H23*D16</f>
        <v>1872.7037999999998</v>
      </c>
      <c r="H61" s="36">
        <f>G25*F16</f>
        <v>1417.4999999999998</v>
      </c>
      <c r="I61" s="36">
        <f>H25*F16</f>
        <v>488.24999999999989</v>
      </c>
      <c r="L61" s="36">
        <f>G27*H16</f>
        <v>11231.999999999998</v>
      </c>
      <c r="M61" s="36">
        <f>H27*H16</f>
        <v>3868.7999999999993</v>
      </c>
    </row>
    <row r="62" spans="2:15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</row>
    <row r="63" spans="2:15">
      <c r="B63" s="9"/>
      <c r="C63" s="9"/>
      <c r="D63" s="9"/>
      <c r="E63" s="9"/>
    </row>
    <row r="64" spans="2:15">
      <c r="B64" s="9"/>
      <c r="C64" s="9"/>
      <c r="D64" s="9"/>
      <c r="E64" s="9"/>
    </row>
    <row r="65" spans="2:15" ht="32.549999999999997" customHeight="1">
      <c r="C65" t="s">
        <v>290</v>
      </c>
      <c r="D65" s="95" t="s">
        <v>265</v>
      </c>
      <c r="E65" s="95"/>
      <c r="F65" s="95" t="s">
        <v>266</v>
      </c>
      <c r="G65" s="95"/>
      <c r="H65" s="95" t="s">
        <v>267</v>
      </c>
      <c r="I65" s="95"/>
      <c r="J65" s="95" t="s">
        <v>268</v>
      </c>
      <c r="K65" s="95"/>
      <c r="L65" s="95" t="s">
        <v>296</v>
      </c>
      <c r="M65" s="95"/>
      <c r="N65" s="95" t="s">
        <v>270</v>
      </c>
      <c r="O65" s="95"/>
    </row>
    <row r="66" spans="2:15" ht="19.8" customHeight="1">
      <c r="B66" s="40" t="s">
        <v>297</v>
      </c>
      <c r="D66" s="10" t="s">
        <v>282</v>
      </c>
      <c r="E66" s="10" t="s">
        <v>283</v>
      </c>
      <c r="F66" s="10" t="s">
        <v>282</v>
      </c>
      <c r="G66" s="10" t="s">
        <v>283</v>
      </c>
      <c r="H66" s="10" t="s">
        <v>282</v>
      </c>
      <c r="I66" s="10" t="s">
        <v>283</v>
      </c>
      <c r="J66" s="10" t="s">
        <v>282</v>
      </c>
      <c r="K66" s="10" t="s">
        <v>283</v>
      </c>
      <c r="L66" s="10" t="s">
        <v>282</v>
      </c>
      <c r="M66" s="10" t="s">
        <v>283</v>
      </c>
      <c r="N66" s="10" t="s">
        <v>282</v>
      </c>
      <c r="O66" s="10" t="s">
        <v>283</v>
      </c>
    </row>
    <row r="67" spans="2:15">
      <c r="B67" s="9" t="s">
        <v>166</v>
      </c>
      <c r="C67" s="9" t="s">
        <v>271</v>
      </c>
      <c r="D67" s="36">
        <f>K$23*D6</f>
        <v>228456.22799999994</v>
      </c>
      <c r="E67" s="36">
        <f>L$23*D6</f>
        <v>104437.13279999999</v>
      </c>
      <c r="F67" s="68">
        <f>K$23*E6</f>
        <v>188838.65</v>
      </c>
      <c r="G67" s="68">
        <f>L$23*E6</f>
        <v>86326.24</v>
      </c>
      <c r="H67" s="87">
        <f t="shared" ref="H67:H77" si="1">hospitalisation_de*F6</f>
        <v>1209751.2</v>
      </c>
      <c r="I67" s="36">
        <f>L$25*F6</f>
        <v>553029.11999999988</v>
      </c>
      <c r="J67" s="68">
        <f t="shared" ref="J67:J74" si="2">hospitalisation_de*G6</f>
        <v>981136.80000000016</v>
      </c>
      <c r="K67" s="68">
        <f>L$25*G6</f>
        <v>448519.68000000005</v>
      </c>
      <c r="L67" s="36">
        <f>K$27*H6</f>
        <v>45170244</v>
      </c>
      <c r="M67" s="36">
        <f>L$27*H6</f>
        <v>20649254.399999999</v>
      </c>
      <c r="N67" s="68">
        <f>K$27*I6</f>
        <v>37454130.000000007</v>
      </c>
      <c r="O67" s="68">
        <f>L$27*I6</f>
        <v>17121888.000000004</v>
      </c>
    </row>
    <row r="68" spans="2:15">
      <c r="C68" t="s">
        <v>272</v>
      </c>
      <c r="D68" s="68">
        <f t="shared" ref="D68:D77" si="3">K$23*D7</f>
        <v>1314779.466</v>
      </c>
      <c r="E68" s="68">
        <f t="shared" ref="E68:E77" si="4">L$23*D7</f>
        <v>601042.0416</v>
      </c>
      <c r="F68" s="36">
        <f t="shared" ref="F68:F74" si="5">K$23*E7</f>
        <v>364882.51799999998</v>
      </c>
      <c r="G68" s="36">
        <f t="shared" ref="G68:G74" si="6">L$23*E7</f>
        <v>166803.4368</v>
      </c>
      <c r="H68" s="88">
        <f t="shared" si="1"/>
        <v>5036660.9999999991</v>
      </c>
      <c r="I68" s="68">
        <f t="shared" ref="I68:I77" si="7">L$25*F7</f>
        <v>2302473.5999999996</v>
      </c>
      <c r="J68" s="36">
        <f>hospitalisation_de*G7</f>
        <v>1390737.5999999999</v>
      </c>
      <c r="K68" s="36">
        <f t="shared" ref="K68:K74" si="8">L$25*G7</f>
        <v>635765.75999999989</v>
      </c>
      <c r="L68" s="68">
        <f t="shared" ref="L68:L77" si="9">K$27*H7</f>
        <v>233961588</v>
      </c>
      <c r="M68" s="68">
        <f t="shared" ref="M68:M77" si="10">L$27*H7</f>
        <v>106953868.8</v>
      </c>
      <c r="N68" s="36">
        <f t="shared" ref="N68:N74" si="11">K$27*I7</f>
        <v>65277198</v>
      </c>
      <c r="O68" s="36">
        <f t="shared" ref="O68:O74" si="12">L$27*I7</f>
        <v>29841004.800000001</v>
      </c>
    </row>
    <row r="69" spans="2:15">
      <c r="C69" t="s">
        <v>274</v>
      </c>
      <c r="D69" s="68">
        <f t="shared" si="3"/>
        <v>78926.847999999998</v>
      </c>
      <c r="E69" s="68">
        <f t="shared" si="4"/>
        <v>36080.844800000006</v>
      </c>
      <c r="F69" s="36">
        <f t="shared" si="5"/>
        <v>19731.712</v>
      </c>
      <c r="G69" s="36">
        <f t="shared" si="6"/>
        <v>9020.2112000000016</v>
      </c>
      <c r="H69" s="88">
        <f t="shared" si="1"/>
        <v>304819.20000000001</v>
      </c>
      <c r="I69" s="68">
        <f>L$25*F8</f>
        <v>139345.92000000001</v>
      </c>
      <c r="J69" s="36">
        <f t="shared" si="2"/>
        <v>76204.800000000003</v>
      </c>
      <c r="K69" s="36">
        <f t="shared" si="8"/>
        <v>34836.480000000003</v>
      </c>
      <c r="L69" s="68">
        <f t="shared" si="9"/>
        <v>14418432.000000004</v>
      </c>
      <c r="M69" s="68">
        <f t="shared" si="10"/>
        <v>6591283.2000000011</v>
      </c>
      <c r="N69" s="36">
        <f t="shared" si="11"/>
        <v>3604608.0000000009</v>
      </c>
      <c r="O69" s="36">
        <f t="shared" si="12"/>
        <v>1647820.8000000003</v>
      </c>
    </row>
    <row r="70" spans="2:15">
      <c r="C70" t="s">
        <v>72</v>
      </c>
      <c r="D70" s="36">
        <f t="shared" si="3"/>
        <v>130568.43799999999</v>
      </c>
      <c r="E70" s="36">
        <f t="shared" si="4"/>
        <v>59688.428800000002</v>
      </c>
      <c r="F70" s="68">
        <f t="shared" si="5"/>
        <v>100045.94599999997</v>
      </c>
      <c r="G70" s="68">
        <f>L$23*E9</f>
        <v>45735.289599999989</v>
      </c>
      <c r="H70" s="87">
        <f t="shared" si="1"/>
        <v>438177.6</v>
      </c>
      <c r="I70" s="36">
        <f t="shared" si="7"/>
        <v>200309.75999999998</v>
      </c>
      <c r="J70" s="68">
        <f t="shared" si="2"/>
        <v>304819.1999999999</v>
      </c>
      <c r="K70" s="68">
        <f t="shared" si="8"/>
        <v>139345.91999999995</v>
      </c>
      <c r="L70" s="36">
        <f t="shared" si="9"/>
        <v>23148342</v>
      </c>
      <c r="M70" s="36">
        <f t="shared" si="10"/>
        <v>10582099.200000001</v>
      </c>
      <c r="N70" s="68">
        <f t="shared" si="11"/>
        <v>17910396</v>
      </c>
      <c r="O70" s="68">
        <f t="shared" si="12"/>
        <v>8187609.5999999996</v>
      </c>
    </row>
    <row r="71" spans="2:15">
      <c r="B71" t="s">
        <v>79</v>
      </c>
      <c r="C71" t="s">
        <v>80</v>
      </c>
      <c r="D71" s="68">
        <f t="shared" si="3"/>
        <v>7861.8540000000012</v>
      </c>
      <c r="E71" s="68">
        <f t="shared" si="4"/>
        <v>3593.9904000000006</v>
      </c>
      <c r="F71" s="36">
        <f>K$23*E10</f>
        <v>4008.0039999999995</v>
      </c>
      <c r="G71" s="36">
        <f t="shared" si="6"/>
        <v>1832.2303999999999</v>
      </c>
      <c r="H71" s="88">
        <f t="shared" si="1"/>
        <v>45246.6</v>
      </c>
      <c r="I71" s="68">
        <f t="shared" si="7"/>
        <v>20684.16</v>
      </c>
      <c r="J71" s="36">
        <f>hospitalisation_de*G10</f>
        <v>21432.599999999995</v>
      </c>
      <c r="K71" s="36">
        <f t="shared" si="8"/>
        <v>9797.7599999999984</v>
      </c>
      <c r="L71" s="68">
        <f t="shared" si="9"/>
        <v>1633338.0000000002</v>
      </c>
      <c r="M71" s="68">
        <f t="shared" si="10"/>
        <v>746668.8</v>
      </c>
      <c r="N71" s="36">
        <f t="shared" si="11"/>
        <v>788507.99999999988</v>
      </c>
      <c r="O71" s="36">
        <f t="shared" si="12"/>
        <v>360460.79999999999</v>
      </c>
    </row>
    <row r="72" spans="2:15">
      <c r="B72" t="s">
        <v>89</v>
      </c>
      <c r="C72" t="s">
        <v>275</v>
      </c>
      <c r="D72" s="68">
        <f t="shared" si="3"/>
        <v>7399.3920000000007</v>
      </c>
      <c r="E72" s="68">
        <f t="shared" si="4"/>
        <v>3382.5792000000006</v>
      </c>
      <c r="F72" s="36">
        <f t="shared" si="5"/>
        <v>3699.695999999999</v>
      </c>
      <c r="G72" s="36">
        <f t="shared" si="6"/>
        <v>1691.2895999999998</v>
      </c>
      <c r="H72" s="88">
        <f t="shared" si="1"/>
        <v>28576.800000000003</v>
      </c>
      <c r="I72" s="68">
        <f t="shared" si="7"/>
        <v>13063.68</v>
      </c>
      <c r="J72" s="36">
        <f t="shared" si="2"/>
        <v>14288.399999999998</v>
      </c>
      <c r="K72" s="36">
        <f t="shared" si="8"/>
        <v>6531.8399999999992</v>
      </c>
      <c r="L72" s="68">
        <f t="shared" si="9"/>
        <v>1351728.0000000002</v>
      </c>
      <c r="M72" s="68">
        <f t="shared" si="10"/>
        <v>617932.80000000016</v>
      </c>
      <c r="N72" s="36">
        <f t="shared" si="11"/>
        <v>675864</v>
      </c>
      <c r="O72" s="36">
        <f t="shared" si="12"/>
        <v>308966.39999999997</v>
      </c>
    </row>
    <row r="73" spans="2:15">
      <c r="C73" t="s">
        <v>276</v>
      </c>
      <c r="D73" s="68">
        <f t="shared" si="3"/>
        <v>36996.959999999992</v>
      </c>
      <c r="E73" s="68">
        <f t="shared" si="4"/>
        <v>16912.895999999997</v>
      </c>
      <c r="F73" s="36">
        <f t="shared" si="5"/>
        <v>15415.399999999998</v>
      </c>
      <c r="G73" s="36">
        <f t="shared" si="6"/>
        <v>7047.04</v>
      </c>
      <c r="H73" s="88">
        <f t="shared" si="1"/>
        <v>142883.99999999997</v>
      </c>
      <c r="I73" s="68">
        <f t="shared" si="7"/>
        <v>65318.399999999987</v>
      </c>
      <c r="J73" s="36">
        <f t="shared" si="2"/>
        <v>59534.999999999993</v>
      </c>
      <c r="K73" s="36">
        <f t="shared" si="8"/>
        <v>27215.999999999996</v>
      </c>
      <c r="L73" s="68">
        <f t="shared" si="9"/>
        <v>6758640</v>
      </c>
      <c r="M73" s="68">
        <f t="shared" si="10"/>
        <v>3089664</v>
      </c>
      <c r="N73" s="36">
        <f t="shared" si="11"/>
        <v>2816100</v>
      </c>
      <c r="O73" s="36">
        <f t="shared" si="12"/>
        <v>1287360</v>
      </c>
    </row>
    <row r="74" spans="2:15">
      <c r="C74" t="s">
        <v>277</v>
      </c>
      <c r="D74" s="68">
        <f>K$23*D13</f>
        <v>5857.8519999999999</v>
      </c>
      <c r="E74" s="68">
        <f t="shared" si="4"/>
        <v>2677.8752000000004</v>
      </c>
      <c r="F74" s="36">
        <f t="shared" si="5"/>
        <v>3083.0799999999995</v>
      </c>
      <c r="G74" s="36">
        <f t="shared" si="6"/>
        <v>1409.4079999999999</v>
      </c>
      <c r="H74" s="88">
        <f t="shared" si="1"/>
        <v>23813.999999999996</v>
      </c>
      <c r="I74" s="68">
        <f t="shared" si="7"/>
        <v>10886.399999999998</v>
      </c>
      <c r="J74" s="36">
        <f t="shared" si="2"/>
        <v>9525.5999999999967</v>
      </c>
      <c r="K74" s="36">
        <f t="shared" si="8"/>
        <v>4354.5599999999986</v>
      </c>
      <c r="L74" s="68">
        <f>K$27*H13</f>
        <v>1070118</v>
      </c>
      <c r="M74" s="68">
        <f t="shared" si="10"/>
        <v>489196.79999999999</v>
      </c>
      <c r="N74" s="36">
        <f t="shared" si="11"/>
        <v>563220</v>
      </c>
      <c r="O74" s="36">
        <f t="shared" si="12"/>
        <v>257471.99999999997</v>
      </c>
    </row>
    <row r="75" spans="2:15">
      <c r="B75" s="9" t="s">
        <v>75</v>
      </c>
      <c r="C75" s="9" t="s">
        <v>103</v>
      </c>
      <c r="D75" s="36">
        <f t="shared" si="3"/>
        <v>308.30799999999994</v>
      </c>
      <c r="E75" s="36">
        <f t="shared" si="4"/>
        <v>140.94079999999997</v>
      </c>
      <c r="H75" s="87">
        <f t="shared" si="1"/>
        <v>1905.1199999999994</v>
      </c>
      <c r="I75" s="36">
        <f t="shared" si="7"/>
        <v>870.91199999999969</v>
      </c>
      <c r="L75" s="36">
        <f t="shared" si="9"/>
        <v>67586.399999999994</v>
      </c>
      <c r="M75" s="36">
        <f t="shared" si="10"/>
        <v>30896.639999999996</v>
      </c>
    </row>
    <row r="76" spans="2:15">
      <c r="C76" t="s">
        <v>109</v>
      </c>
      <c r="D76" s="36">
        <f t="shared" si="3"/>
        <v>14798.784</v>
      </c>
      <c r="E76" s="36">
        <f t="shared" si="4"/>
        <v>6765.1584000000003</v>
      </c>
      <c r="H76" s="87">
        <f t="shared" si="1"/>
        <v>76204.799999999974</v>
      </c>
      <c r="I76" s="36">
        <f t="shared" si="7"/>
        <v>34836.479999999989</v>
      </c>
      <c r="L76" s="36">
        <f t="shared" si="9"/>
        <v>3041387.9999999995</v>
      </c>
      <c r="M76" s="36">
        <f t="shared" si="10"/>
        <v>1390348.7999999998</v>
      </c>
    </row>
    <row r="77" spans="2:15">
      <c r="C77" t="s">
        <v>112</v>
      </c>
      <c r="D77" s="36">
        <f t="shared" si="3"/>
        <v>3468.4649999999992</v>
      </c>
      <c r="E77" s="36">
        <f t="shared" si="4"/>
        <v>1585.5839999999998</v>
      </c>
      <c r="H77" s="87">
        <f t="shared" si="1"/>
        <v>17860.499999999993</v>
      </c>
      <c r="I77" s="36">
        <f t="shared" si="7"/>
        <v>8164.7999999999975</v>
      </c>
      <c r="L77" s="36">
        <f t="shared" si="9"/>
        <v>844829.99999999977</v>
      </c>
      <c r="M77" s="36">
        <f t="shared" si="10"/>
        <v>386207.99999999994</v>
      </c>
    </row>
    <row r="80" spans="2:15">
      <c r="B80" s="3"/>
    </row>
    <row r="81" spans="2:15" ht="31.8" customHeight="1">
      <c r="C81" t="s">
        <v>290</v>
      </c>
      <c r="D81" s="95" t="s">
        <v>265</v>
      </c>
      <c r="E81" s="95"/>
      <c r="F81" s="95" t="s">
        <v>266</v>
      </c>
      <c r="G81" s="95"/>
      <c r="H81" s="95" t="s">
        <v>267</v>
      </c>
      <c r="I81" s="95"/>
      <c r="J81" s="95" t="s">
        <v>268</v>
      </c>
      <c r="K81" s="95"/>
      <c r="L81" s="95" t="s">
        <v>296</v>
      </c>
      <c r="M81" s="95"/>
      <c r="N81" s="95" t="s">
        <v>270</v>
      </c>
      <c r="O81" s="95"/>
    </row>
    <row r="82" spans="2:15">
      <c r="B82" s="44" t="s">
        <v>298</v>
      </c>
      <c r="D82" s="10" t="s">
        <v>299</v>
      </c>
      <c r="E82" s="10" t="s">
        <v>300</v>
      </c>
      <c r="F82" s="10" t="s">
        <v>299</v>
      </c>
      <c r="G82" s="10" t="s">
        <v>300</v>
      </c>
      <c r="H82" s="10" t="s">
        <v>299</v>
      </c>
      <c r="I82" s="10" t="s">
        <v>300</v>
      </c>
      <c r="J82" s="10" t="s">
        <v>299</v>
      </c>
      <c r="K82" s="10" t="s">
        <v>300</v>
      </c>
      <c r="L82" s="10" t="s">
        <v>299</v>
      </c>
      <c r="M82" s="10" t="s">
        <v>300</v>
      </c>
      <c r="N82" s="10" t="s">
        <v>299</v>
      </c>
      <c r="O82" s="10" t="s">
        <v>300</v>
      </c>
    </row>
    <row r="83" spans="2:15">
      <c r="B83" s="9" t="s">
        <v>166</v>
      </c>
      <c r="C83" s="9" t="s">
        <v>271</v>
      </c>
      <c r="D83" s="36">
        <f>D35+D51+D67</f>
        <v>596632.7266075504</v>
      </c>
      <c r="E83" s="36">
        <f>E35+E51+E67</f>
        <v>231229.85027999996</v>
      </c>
      <c r="F83" s="68">
        <f t="shared" ref="F83:O83" si="13">F35+F51+F67</f>
        <v>493168.07698667294</v>
      </c>
      <c r="G83" s="68">
        <f t="shared" si="13"/>
        <v>191131.28649999999</v>
      </c>
      <c r="H83" s="36">
        <f t="shared" si="13"/>
        <v>1384503.2</v>
      </c>
      <c r="I83" s="36">
        <f t="shared" si="13"/>
        <v>613938.31999999983</v>
      </c>
      <c r="J83" s="68">
        <f t="shared" si="13"/>
        <v>1122864.8000000003</v>
      </c>
      <c r="K83" s="68">
        <f t="shared" si="13"/>
        <v>497918.4800000001</v>
      </c>
      <c r="L83" s="36">
        <f t="shared" si="13"/>
        <v>46407569.600000001</v>
      </c>
      <c r="M83" s="36">
        <f t="shared" si="13"/>
        <v>20943126.447999999</v>
      </c>
      <c r="N83" s="68">
        <f t="shared" si="13"/>
        <v>38480092.000000007</v>
      </c>
      <c r="O83" s="68">
        <f t="shared" si="13"/>
        <v>17365559.960000005</v>
      </c>
    </row>
    <row r="84" spans="2:15">
      <c r="C84" t="s">
        <v>272</v>
      </c>
      <c r="D84" s="68">
        <f t="shared" ref="D84:O93" si="14">D36+D52+D68</f>
        <v>3433657.5743831298</v>
      </c>
      <c r="E84" s="68">
        <f t="shared" si="14"/>
        <v>1330741.83066</v>
      </c>
      <c r="F84" s="36">
        <f t="shared" si="14"/>
        <v>952921.50059384084</v>
      </c>
      <c r="G84" s="36">
        <f t="shared" si="14"/>
        <v>369312.45318000001</v>
      </c>
      <c r="H84" s="68">
        <f t="shared" si="14"/>
        <v>5764220.9999999991</v>
      </c>
      <c r="I84" s="68">
        <f t="shared" si="14"/>
        <v>2556062.0999999996</v>
      </c>
      <c r="J84" s="36">
        <f t="shared" si="14"/>
        <v>1591633.5999999999</v>
      </c>
      <c r="K84" s="36">
        <f t="shared" si="14"/>
        <v>705787.35999999987</v>
      </c>
      <c r="L84" s="68">
        <f t="shared" si="14"/>
        <v>240370379.19999999</v>
      </c>
      <c r="M84" s="68">
        <f t="shared" si="14"/>
        <v>108475994.096</v>
      </c>
      <c r="N84" s="36">
        <f t="shared" si="14"/>
        <v>67065303.200000003</v>
      </c>
      <c r="O84" s="36">
        <f t="shared" si="14"/>
        <v>30265690.216000002</v>
      </c>
    </row>
    <row r="85" spans="2:15">
      <c r="C85" t="s">
        <v>274</v>
      </c>
      <c r="D85" s="68">
        <f t="shared" si="14"/>
        <v>206124.1268711646</v>
      </c>
      <c r="E85" s="68">
        <f t="shared" si="14"/>
        <v>79885.076480000018</v>
      </c>
      <c r="F85" s="36">
        <f t="shared" si="14"/>
        <v>51531.031717791149</v>
      </c>
      <c r="G85" s="36">
        <f t="shared" si="14"/>
        <v>19971.269120000004</v>
      </c>
      <c r="H85" s="68">
        <f t="shared" si="14"/>
        <v>348851.20000000001</v>
      </c>
      <c r="I85" s="68">
        <f t="shared" si="14"/>
        <v>149157.12000000002</v>
      </c>
      <c r="J85" s="36">
        <f t="shared" si="14"/>
        <v>87212.800000000003</v>
      </c>
      <c r="K85" s="36">
        <f t="shared" si="14"/>
        <v>38673.280000000006</v>
      </c>
      <c r="L85" s="68">
        <f t="shared" si="14"/>
        <v>14813388.800000004</v>
      </c>
      <c r="M85" s="68">
        <f t="shared" si="14"/>
        <v>6685087.7440000009</v>
      </c>
      <c r="N85" s="36">
        <f t="shared" si="14"/>
        <v>3703347.2000000011</v>
      </c>
      <c r="O85" s="36">
        <f t="shared" si="14"/>
        <v>1671271.9360000002</v>
      </c>
    </row>
    <row r="86" spans="2:15">
      <c r="C86" t="s">
        <v>72</v>
      </c>
      <c r="D86" s="36">
        <f t="shared" si="14"/>
        <v>340990.49894507101</v>
      </c>
      <c r="E86" s="36">
        <f t="shared" si="14"/>
        <v>132153.63238000002</v>
      </c>
      <c r="F86" s="68">
        <f t="shared" si="14"/>
        <v>261278.43425661282</v>
      </c>
      <c r="G86" s="68">
        <f t="shared" si="14"/>
        <v>101260.57545999999</v>
      </c>
      <c r="H86" s="36">
        <f>H38+H54+H70</f>
        <v>501473.6</v>
      </c>
      <c r="I86" s="36">
        <f t="shared" si="14"/>
        <v>222371.36</v>
      </c>
      <c r="J86" s="68">
        <f t="shared" si="14"/>
        <v>348851.1999999999</v>
      </c>
      <c r="K86" s="68">
        <f t="shared" si="14"/>
        <v>154693.11999999994</v>
      </c>
      <c r="L86" s="36">
        <f t="shared" si="14"/>
        <v>23782432.800000001</v>
      </c>
      <c r="M86" s="36">
        <f t="shared" si="14"/>
        <v>10732699.464000002</v>
      </c>
      <c r="N86" s="68">
        <f t="shared" si="14"/>
        <v>18401006.399999999</v>
      </c>
      <c r="O86" s="68">
        <f t="shared" si="14"/>
        <v>8304132.432</v>
      </c>
    </row>
    <row r="87" spans="2:15">
      <c r="B87" t="s">
        <v>79</v>
      </c>
      <c r="C87" t="s">
        <v>80</v>
      </c>
      <c r="D87" s="68">
        <f t="shared" si="14"/>
        <v>20531.895450057411</v>
      </c>
      <c r="E87" s="68">
        <f t="shared" si="14"/>
        <v>7957.3025400000015</v>
      </c>
      <c r="F87" s="36">
        <f t="shared" si="14"/>
        <v>10467.240817676324</v>
      </c>
      <c r="G87" s="36">
        <f t="shared" si="14"/>
        <v>4056.6640400000001</v>
      </c>
      <c r="H87" s="68">
        <f t="shared" si="14"/>
        <v>51782.6</v>
      </c>
      <c r="I87" s="68">
        <f t="shared" si="14"/>
        <v>22962.260000000002</v>
      </c>
      <c r="J87" s="36">
        <f t="shared" si="14"/>
        <v>24528.599999999995</v>
      </c>
      <c r="K87" s="36">
        <f t="shared" si="14"/>
        <v>10876.859999999999</v>
      </c>
      <c r="L87" s="68">
        <f t="shared" si="14"/>
        <v>1678079.2000000002</v>
      </c>
      <c r="M87" s="68">
        <f t="shared" si="14"/>
        <v>757295.09600000002</v>
      </c>
      <c r="N87" s="36">
        <f t="shared" si="14"/>
        <v>810107.19999999984</v>
      </c>
      <c r="O87" s="36">
        <f t="shared" si="14"/>
        <v>365590.73599999998</v>
      </c>
    </row>
    <row r="88" spans="2:15">
      <c r="B88" t="s">
        <v>89</v>
      </c>
      <c r="C88" t="s">
        <v>275</v>
      </c>
      <c r="D88" s="68">
        <f t="shared" si="14"/>
        <v>19324.136894171679</v>
      </c>
      <c r="E88" s="68">
        <f t="shared" si="14"/>
        <v>7489.2259200000008</v>
      </c>
      <c r="F88" s="36">
        <f t="shared" si="14"/>
        <v>9662.0684470858359</v>
      </c>
      <c r="G88" s="36">
        <f t="shared" si="14"/>
        <v>3744.6129599999995</v>
      </c>
      <c r="H88" s="68">
        <f t="shared" si="14"/>
        <v>32704.800000000003</v>
      </c>
      <c r="I88" s="68">
        <f t="shared" si="14"/>
        <v>14502.48</v>
      </c>
      <c r="J88" s="36">
        <f t="shared" si="14"/>
        <v>16352.399999999998</v>
      </c>
      <c r="K88" s="36">
        <f t="shared" si="14"/>
        <v>7251.2399999999989</v>
      </c>
      <c r="L88" s="68">
        <f t="shared" si="14"/>
        <v>1388755.2000000002</v>
      </c>
      <c r="M88" s="68">
        <f t="shared" si="14"/>
        <v>626726.97600000014</v>
      </c>
      <c r="N88" s="36">
        <f t="shared" si="14"/>
        <v>694377.6</v>
      </c>
      <c r="O88" s="36">
        <f t="shared" si="14"/>
        <v>313363.48799999995</v>
      </c>
    </row>
    <row r="89" spans="2:15">
      <c r="C89" t="s">
        <v>276</v>
      </c>
      <c r="D89" s="68">
        <f t="shared" si="14"/>
        <v>96620.684470858367</v>
      </c>
      <c r="E89" s="68">
        <f t="shared" si="14"/>
        <v>37446.1296</v>
      </c>
      <c r="F89" s="36">
        <f t="shared" si="14"/>
        <v>40258.618529524319</v>
      </c>
      <c r="G89" s="36">
        <f t="shared" si="14"/>
        <v>15602.554</v>
      </c>
      <c r="H89" s="68">
        <f t="shared" si="14"/>
        <v>163523.99999999997</v>
      </c>
      <c r="I89" s="68">
        <f t="shared" si="14"/>
        <v>72512.399999999994</v>
      </c>
      <c r="J89" s="36">
        <f t="shared" si="14"/>
        <v>68135</v>
      </c>
      <c r="K89" s="36">
        <f t="shared" si="14"/>
        <v>30213.499999999996</v>
      </c>
      <c r="L89" s="68">
        <f t="shared" si="14"/>
        <v>6943776</v>
      </c>
      <c r="M89" s="68">
        <f t="shared" si="14"/>
        <v>3133634.88</v>
      </c>
      <c r="N89" s="36">
        <f t="shared" si="14"/>
        <v>2893240</v>
      </c>
      <c r="O89" s="36">
        <f t="shared" si="14"/>
        <v>1305681.2</v>
      </c>
    </row>
    <row r="90" spans="2:15">
      <c r="C90" t="s">
        <v>277</v>
      </c>
      <c r="D90" s="68">
        <f t="shared" si="14"/>
        <v>15298.275041219244</v>
      </c>
      <c r="E90" s="68">
        <f t="shared" si="14"/>
        <v>5928.9705200000008</v>
      </c>
      <c r="F90" s="36">
        <f t="shared" si="14"/>
        <v>8051.7237059048639</v>
      </c>
      <c r="G90" s="36">
        <f t="shared" si="14"/>
        <v>3120.5108</v>
      </c>
      <c r="H90" s="68">
        <f t="shared" si="14"/>
        <v>27253.999999999996</v>
      </c>
      <c r="I90" s="68">
        <f t="shared" si="14"/>
        <v>12085.399999999998</v>
      </c>
      <c r="J90" s="36">
        <f t="shared" si="14"/>
        <v>10901.599999999997</v>
      </c>
      <c r="K90" s="36">
        <f t="shared" si="14"/>
        <v>4834.159999999998</v>
      </c>
      <c r="L90" s="68">
        <f t="shared" si="14"/>
        <v>1099431.2</v>
      </c>
      <c r="M90" s="68">
        <f t="shared" si="14"/>
        <v>496158.85599999997</v>
      </c>
      <c r="N90" s="36">
        <f t="shared" si="14"/>
        <v>578648</v>
      </c>
      <c r="O90" s="36">
        <f t="shared" si="14"/>
        <v>261136.23999999996</v>
      </c>
    </row>
    <row r="91" spans="2:15">
      <c r="B91" s="9" t="s">
        <v>75</v>
      </c>
      <c r="C91" s="9" t="s">
        <v>103</v>
      </c>
      <c r="D91" s="36">
        <f>D43+D59+D75</f>
        <v>805.17237059048648</v>
      </c>
      <c r="E91" s="36">
        <f t="shared" ref="E91:M91" si="15">E43+E59+E75</f>
        <v>312.05107999999996</v>
      </c>
      <c r="H91" s="36">
        <f t="shared" si="15"/>
        <v>2180.3199999999993</v>
      </c>
      <c r="I91" s="36">
        <f t="shared" si="15"/>
        <v>966.83199999999965</v>
      </c>
      <c r="L91" s="36">
        <f t="shared" si="15"/>
        <v>69437.759999999995</v>
      </c>
      <c r="M91" s="36">
        <f t="shared" si="15"/>
        <v>31336.348799999996</v>
      </c>
    </row>
    <row r="92" spans="2:15">
      <c r="C92" t="s">
        <v>109</v>
      </c>
      <c r="D92" s="36">
        <f t="shared" si="14"/>
        <v>38648.273788343358</v>
      </c>
      <c r="E92" s="36">
        <f t="shared" si="14"/>
        <v>14978.451840000002</v>
      </c>
      <c r="H92" s="36">
        <f t="shared" si="14"/>
        <v>87212.799999999974</v>
      </c>
      <c r="I92" s="36">
        <f t="shared" si="14"/>
        <v>38673.279999999984</v>
      </c>
      <c r="L92" s="36">
        <f t="shared" si="14"/>
        <v>3124699.1999999997</v>
      </c>
      <c r="M92" s="36">
        <f t="shared" si="14"/>
        <v>1410135.6959999998</v>
      </c>
    </row>
    <row r="93" spans="2:15">
      <c r="C93" t="s">
        <v>112</v>
      </c>
      <c r="D93" s="36">
        <f t="shared" si="14"/>
        <v>9058.1891691429719</v>
      </c>
      <c r="E93" s="36">
        <f t="shared" si="14"/>
        <v>3510.5746499999996</v>
      </c>
      <c r="H93" s="36">
        <f t="shared" si="14"/>
        <v>20440.499999999993</v>
      </c>
      <c r="I93" s="36">
        <f t="shared" si="14"/>
        <v>9064.0499999999975</v>
      </c>
      <c r="L93" s="36">
        <f t="shared" si="14"/>
        <v>867971.99999999977</v>
      </c>
      <c r="M93" s="36">
        <f t="shared" si="14"/>
        <v>391704.35999999993</v>
      </c>
    </row>
    <row r="97" spans="2:15" ht="31.35" customHeight="1">
      <c r="C97" t="s">
        <v>290</v>
      </c>
      <c r="D97" s="95" t="s">
        <v>265</v>
      </c>
      <c r="E97" s="95"/>
      <c r="F97" s="95" t="s">
        <v>266</v>
      </c>
      <c r="G97" s="95"/>
      <c r="H97" s="95" t="s">
        <v>267</v>
      </c>
      <c r="I97" s="95"/>
      <c r="J97" s="95" t="s">
        <v>268</v>
      </c>
      <c r="K97" s="95"/>
      <c r="L97" s="95" t="s">
        <v>296</v>
      </c>
      <c r="M97" s="95"/>
      <c r="N97" s="95" t="s">
        <v>270</v>
      </c>
      <c r="O97" s="95"/>
    </row>
    <row r="98" spans="2:15">
      <c r="B98" s="44" t="s">
        <v>301</v>
      </c>
      <c r="D98" s="10" t="s">
        <v>299</v>
      </c>
      <c r="E98" s="10" t="s">
        <v>300</v>
      </c>
      <c r="F98" s="10" t="s">
        <v>299</v>
      </c>
      <c r="G98" s="10" t="s">
        <v>300</v>
      </c>
      <c r="H98" s="10" t="s">
        <v>299</v>
      </c>
      <c r="I98" s="10" t="s">
        <v>300</v>
      </c>
      <c r="J98" s="10" t="s">
        <v>299</v>
      </c>
      <c r="K98" s="10" t="s">
        <v>300</v>
      </c>
      <c r="L98" s="10" t="s">
        <v>299</v>
      </c>
      <c r="M98" s="10" t="s">
        <v>300</v>
      </c>
      <c r="N98" s="10" t="s">
        <v>299</v>
      </c>
      <c r="O98" s="10" t="s">
        <v>300</v>
      </c>
    </row>
    <row r="99" spans="2:15">
      <c r="B99" s="9" t="s">
        <v>166</v>
      </c>
      <c r="C99" s="9" t="s">
        <v>271</v>
      </c>
      <c r="D99" s="36">
        <f t="shared" ref="D99:O99" si="16">D83/lamps_irishpub</f>
        <v>66292.525178616706</v>
      </c>
      <c r="E99" s="36">
        <f t="shared" si="16"/>
        <v>25692.205586666663</v>
      </c>
      <c r="F99" s="68">
        <f t="shared" si="16"/>
        <v>54796.452998519213</v>
      </c>
      <c r="G99" s="68">
        <f t="shared" si="16"/>
        <v>21236.809611111108</v>
      </c>
      <c r="H99" s="36">
        <f t="shared" si="16"/>
        <v>153833.68888888889</v>
      </c>
      <c r="I99" s="36">
        <f t="shared" si="16"/>
        <v>68215.368888888872</v>
      </c>
      <c r="J99" s="68">
        <f t="shared" si="16"/>
        <v>124762.75555555559</v>
      </c>
      <c r="K99" s="68">
        <f t="shared" si="16"/>
        <v>55324.275555555563</v>
      </c>
      <c r="L99" s="36">
        <f t="shared" si="16"/>
        <v>5156396.6222222224</v>
      </c>
      <c r="M99" s="36">
        <f t="shared" si="16"/>
        <v>2327014.0497777779</v>
      </c>
      <c r="N99" s="68">
        <f t="shared" si="16"/>
        <v>4275565.7777777789</v>
      </c>
      <c r="O99" s="68">
        <f t="shared" si="16"/>
        <v>1929506.6622222227</v>
      </c>
    </row>
    <row r="100" spans="2:15">
      <c r="C100" t="s">
        <v>272</v>
      </c>
      <c r="D100" s="68">
        <f t="shared" ref="D100:O100" si="17">D84/lamps_fastfood</f>
        <v>264127.50572177919</v>
      </c>
      <c r="E100" s="68">
        <f t="shared" si="17"/>
        <v>102364.75620461538</v>
      </c>
      <c r="F100" s="36">
        <f t="shared" si="17"/>
        <v>73301.653891833907</v>
      </c>
      <c r="G100" s="36">
        <f t="shared" si="17"/>
        <v>28408.650244615386</v>
      </c>
      <c r="H100" s="68">
        <f t="shared" si="17"/>
        <v>443401.61538461532</v>
      </c>
      <c r="I100" s="68">
        <f t="shared" si="17"/>
        <v>196620.16153846151</v>
      </c>
      <c r="J100" s="36">
        <f t="shared" si="17"/>
        <v>122433.35384615384</v>
      </c>
      <c r="K100" s="36">
        <f t="shared" si="17"/>
        <v>54291.335384615377</v>
      </c>
      <c r="L100" s="68">
        <f t="shared" si="17"/>
        <v>18490029.169230767</v>
      </c>
      <c r="M100" s="68">
        <f t="shared" si="17"/>
        <v>8344307.238153846</v>
      </c>
      <c r="N100" s="36">
        <f t="shared" si="17"/>
        <v>5158869.4769230774</v>
      </c>
      <c r="O100" s="36">
        <f t="shared" si="17"/>
        <v>2328130.0166153847</v>
      </c>
    </row>
    <row r="101" spans="2:15">
      <c r="C101" t="s">
        <v>274</v>
      </c>
      <c r="D101" s="68">
        <f>D85/lamps_queue</f>
        <v>206124.1268711646</v>
      </c>
      <c r="E101" s="68">
        <f t="shared" ref="E101:O101" si="18">E85/lamps_queue</f>
        <v>79885.076480000018</v>
      </c>
      <c r="F101" s="36">
        <f t="shared" si="18"/>
        <v>51531.031717791149</v>
      </c>
      <c r="G101" s="36">
        <f t="shared" si="18"/>
        <v>19971.269120000004</v>
      </c>
      <c r="H101" s="68">
        <f t="shared" si="18"/>
        <v>348851.20000000001</v>
      </c>
      <c r="I101" s="68">
        <f t="shared" si="18"/>
        <v>149157.12000000002</v>
      </c>
      <c r="J101" s="36">
        <f t="shared" si="18"/>
        <v>87212.800000000003</v>
      </c>
      <c r="K101" s="36">
        <f t="shared" si="18"/>
        <v>38673.280000000006</v>
      </c>
      <c r="L101" s="68">
        <f t="shared" si="18"/>
        <v>14813388.800000004</v>
      </c>
      <c r="M101" s="68">
        <f t="shared" si="18"/>
        <v>6685087.7440000009</v>
      </c>
      <c r="N101" s="36">
        <f t="shared" si="18"/>
        <v>3703347.2000000011</v>
      </c>
      <c r="O101" s="36">
        <f t="shared" si="18"/>
        <v>1671271.9360000002</v>
      </c>
    </row>
    <row r="102" spans="2:15">
      <c r="C102" t="s">
        <v>72</v>
      </c>
      <c r="D102" s="36">
        <f t="shared" ref="D102:O102" si="19">D86/lamps_restaurant</f>
        <v>48712.928420724427</v>
      </c>
      <c r="E102" s="36">
        <f t="shared" si="19"/>
        <v>18879.090340000002</v>
      </c>
      <c r="F102" s="68">
        <f t="shared" si="19"/>
        <v>37325.490608087544</v>
      </c>
      <c r="G102" s="68">
        <f t="shared" si="19"/>
        <v>14465.796494285712</v>
      </c>
      <c r="H102" s="36">
        <f>H86/lamps_restaurant</f>
        <v>71639.085714285713</v>
      </c>
      <c r="I102" s="36">
        <f t="shared" si="19"/>
        <v>31767.337142857141</v>
      </c>
      <c r="J102" s="68">
        <f t="shared" si="19"/>
        <v>49835.885714285701</v>
      </c>
      <c r="K102" s="68">
        <f t="shared" si="19"/>
        <v>22099.017142857134</v>
      </c>
      <c r="L102" s="36">
        <f t="shared" si="19"/>
        <v>3397490.4</v>
      </c>
      <c r="M102" s="36">
        <f t="shared" si="19"/>
        <v>1533242.7805714288</v>
      </c>
      <c r="N102" s="68">
        <f t="shared" si="19"/>
        <v>2628715.1999999997</v>
      </c>
      <c r="O102" s="68">
        <f t="shared" si="19"/>
        <v>1186304.6331428571</v>
      </c>
    </row>
    <row r="103" spans="2:15">
      <c r="B103" t="s">
        <v>79</v>
      </c>
      <c r="C103" t="s">
        <v>80</v>
      </c>
      <c r="D103" s="68">
        <f t="shared" ref="D103:O103" si="20">D87/lamps_doctorsoffice</f>
        <v>20531.895450057411</v>
      </c>
      <c r="E103" s="68">
        <f t="shared" si="20"/>
        <v>7957.3025400000015</v>
      </c>
      <c r="F103" s="36">
        <f t="shared" si="20"/>
        <v>10467.240817676324</v>
      </c>
      <c r="G103" s="36">
        <f t="shared" si="20"/>
        <v>4056.6640400000001</v>
      </c>
      <c r="H103" s="68">
        <f t="shared" si="20"/>
        <v>51782.6</v>
      </c>
      <c r="I103" s="68">
        <f t="shared" si="20"/>
        <v>22962.260000000002</v>
      </c>
      <c r="J103" s="36">
        <f t="shared" si="20"/>
        <v>24528.599999999995</v>
      </c>
      <c r="K103" s="36">
        <f t="shared" si="20"/>
        <v>10876.859999999999</v>
      </c>
      <c r="L103" s="68">
        <f t="shared" si="20"/>
        <v>1678079.2000000002</v>
      </c>
      <c r="M103" s="68">
        <f t="shared" si="20"/>
        <v>757295.09600000002</v>
      </c>
      <c r="N103" s="36">
        <f t="shared" si="20"/>
        <v>810107.19999999984</v>
      </c>
      <c r="O103" s="36">
        <f t="shared" si="20"/>
        <v>365590.73599999998</v>
      </c>
    </row>
    <row r="104" spans="2:15">
      <c r="B104" t="s">
        <v>89</v>
      </c>
      <c r="C104" t="s">
        <v>275</v>
      </c>
      <c r="D104" s="68">
        <f t="shared" ref="D104:O104" si="21">D88/lamps_doctorsoffice</f>
        <v>19324.136894171679</v>
      </c>
      <c r="E104" s="68">
        <f t="shared" si="21"/>
        <v>7489.2259200000008</v>
      </c>
      <c r="F104" s="36">
        <f t="shared" si="21"/>
        <v>9662.0684470858359</v>
      </c>
      <c r="G104" s="36">
        <f t="shared" si="21"/>
        <v>3744.6129599999995</v>
      </c>
      <c r="H104" s="68">
        <f t="shared" si="21"/>
        <v>32704.800000000003</v>
      </c>
      <c r="I104" s="68">
        <f t="shared" si="21"/>
        <v>14502.48</v>
      </c>
      <c r="J104" s="36">
        <f t="shared" si="21"/>
        <v>16352.399999999998</v>
      </c>
      <c r="K104" s="36">
        <f t="shared" si="21"/>
        <v>7251.2399999999989</v>
      </c>
      <c r="L104" s="68">
        <f t="shared" si="21"/>
        <v>1388755.2000000002</v>
      </c>
      <c r="M104" s="68">
        <f t="shared" si="21"/>
        <v>626726.97600000014</v>
      </c>
      <c r="N104" s="36">
        <f t="shared" si="21"/>
        <v>694377.6</v>
      </c>
      <c r="O104" s="36">
        <f t="shared" si="21"/>
        <v>313363.48799999995</v>
      </c>
    </row>
    <row r="105" spans="2:15">
      <c r="C105" t="s">
        <v>276</v>
      </c>
      <c r="D105" s="68">
        <f t="shared" ref="D105:O105" si="22">D89/lamps_doctorsoffice</f>
        <v>96620.684470858367</v>
      </c>
      <c r="E105" s="68">
        <f t="shared" si="22"/>
        <v>37446.1296</v>
      </c>
      <c r="F105" s="36">
        <f t="shared" si="22"/>
        <v>40258.618529524319</v>
      </c>
      <c r="G105" s="36">
        <f t="shared" si="22"/>
        <v>15602.554</v>
      </c>
      <c r="H105" s="68">
        <f t="shared" si="22"/>
        <v>163523.99999999997</v>
      </c>
      <c r="I105" s="68">
        <f t="shared" si="22"/>
        <v>72512.399999999994</v>
      </c>
      <c r="J105" s="36">
        <f t="shared" si="22"/>
        <v>68135</v>
      </c>
      <c r="K105" s="36">
        <f t="shared" si="22"/>
        <v>30213.499999999996</v>
      </c>
      <c r="L105" s="68">
        <f t="shared" si="22"/>
        <v>6943776</v>
      </c>
      <c r="M105" s="68">
        <f t="shared" si="22"/>
        <v>3133634.88</v>
      </c>
      <c r="N105" s="36">
        <f t="shared" si="22"/>
        <v>2893240</v>
      </c>
      <c r="O105" s="36">
        <f t="shared" si="22"/>
        <v>1305681.2</v>
      </c>
    </row>
    <row r="106" spans="2:15">
      <c r="C106" t="s">
        <v>277</v>
      </c>
      <c r="D106" s="68">
        <f t="shared" ref="D106:O106" si="23">D90/lamps_spitalthun</f>
        <v>3059.6550082438489</v>
      </c>
      <c r="E106" s="68">
        <f t="shared" si="23"/>
        <v>1185.7941040000001</v>
      </c>
      <c r="F106" s="36">
        <f t="shared" si="23"/>
        <v>1610.3447411809727</v>
      </c>
      <c r="G106" s="36">
        <f t="shared" si="23"/>
        <v>624.10216000000003</v>
      </c>
      <c r="H106" s="68">
        <f t="shared" si="23"/>
        <v>5450.7999999999993</v>
      </c>
      <c r="I106" s="68">
        <f t="shared" si="23"/>
        <v>2417.0799999999995</v>
      </c>
      <c r="J106" s="36">
        <f t="shared" si="23"/>
        <v>2180.3199999999993</v>
      </c>
      <c r="K106" s="36">
        <f t="shared" si="23"/>
        <v>966.83199999999965</v>
      </c>
      <c r="L106" s="68">
        <f t="shared" si="23"/>
        <v>219886.24</v>
      </c>
      <c r="M106" s="68">
        <f t="shared" si="23"/>
        <v>99231.771199999988</v>
      </c>
      <c r="N106" s="36">
        <f t="shared" si="23"/>
        <v>115729.60000000001</v>
      </c>
      <c r="O106" s="36">
        <f t="shared" si="23"/>
        <v>52227.247999999992</v>
      </c>
    </row>
    <row r="107" spans="2:15">
      <c r="B107" s="9" t="s">
        <v>75</v>
      </c>
      <c r="C107" s="9" t="s">
        <v>103</v>
      </c>
      <c r="D107" s="36">
        <f>D91/lamps_office17</f>
        <v>805.17237059048648</v>
      </c>
      <c r="E107" s="36">
        <f>E91/lamps_office17</f>
        <v>312.05107999999996</v>
      </c>
      <c r="H107" s="36">
        <f>H91/lamps_office17</f>
        <v>2180.3199999999993</v>
      </c>
      <c r="I107" s="36">
        <f>I91/lamps_office17</f>
        <v>966.83199999999965</v>
      </c>
      <c r="L107" s="36">
        <f>L91/lamps_office17</f>
        <v>69437.759999999995</v>
      </c>
      <c r="M107" s="36">
        <f>M91/lamps_office17</f>
        <v>31336.348799999996</v>
      </c>
    </row>
    <row r="108" spans="2:15">
      <c r="C108" t="s">
        <v>109</v>
      </c>
      <c r="D108" s="36">
        <f>D92/lamps_office08</f>
        <v>4831.0342235429198</v>
      </c>
      <c r="E108" s="36">
        <f>E92/lamps_office08</f>
        <v>1872.3064800000002</v>
      </c>
      <c r="H108" s="36">
        <f>H92/lamps_office08</f>
        <v>10901.599999999997</v>
      </c>
      <c r="I108" s="36">
        <f>I92/lamps_office08</f>
        <v>4834.159999999998</v>
      </c>
      <c r="L108" s="36">
        <f>L92/lamps_office08</f>
        <v>390587.39999999997</v>
      </c>
      <c r="M108" s="36">
        <f>M92/lamps_office08</f>
        <v>176266.96199999997</v>
      </c>
    </row>
    <row r="109" spans="2:15">
      <c r="C109" t="s">
        <v>112</v>
      </c>
      <c r="D109" s="36">
        <f>D93/lamps_office16</f>
        <v>3019.396389714324</v>
      </c>
      <c r="E109" s="36">
        <f>E93/lamps_office16</f>
        <v>1170.1915499999998</v>
      </c>
      <c r="H109" s="36">
        <f>H93/lamps_office16</f>
        <v>6813.4999999999973</v>
      </c>
      <c r="I109" s="36">
        <f>I93/lamps_office16</f>
        <v>3021.349999999999</v>
      </c>
      <c r="L109" s="36">
        <f>L93/lamps_office16</f>
        <v>289323.99999999994</v>
      </c>
      <c r="M109" s="36">
        <f>M93/lamps_office16</f>
        <v>130568.11999999998</v>
      </c>
    </row>
    <row r="113" spans="2:15" ht="32.549999999999997" customHeight="1">
      <c r="C113" t="s">
        <v>290</v>
      </c>
      <c r="D113" s="95" t="s">
        <v>265</v>
      </c>
      <c r="E113" s="95"/>
      <c r="F113" s="95" t="s">
        <v>266</v>
      </c>
      <c r="G113" s="95"/>
      <c r="H113" s="95" t="s">
        <v>267</v>
      </c>
      <c r="I113" s="95"/>
      <c r="J113" s="95" t="s">
        <v>268</v>
      </c>
      <c r="K113" s="95"/>
      <c r="L113" s="95" t="s">
        <v>296</v>
      </c>
      <c r="M113" s="95"/>
      <c r="N113" s="95" t="s">
        <v>270</v>
      </c>
      <c r="O113" s="95"/>
    </row>
    <row r="114" spans="2:15">
      <c r="B114" s="44" t="s">
        <v>302</v>
      </c>
      <c r="D114" s="10" t="s">
        <v>299</v>
      </c>
      <c r="E114" s="10" t="s">
        <v>300</v>
      </c>
      <c r="F114" s="10" t="s">
        <v>299</v>
      </c>
      <c r="G114" s="10" t="s">
        <v>300</v>
      </c>
      <c r="H114" s="10" t="s">
        <v>299</v>
      </c>
      <c r="I114" s="10" t="s">
        <v>300</v>
      </c>
      <c r="J114" s="10" t="s">
        <v>299</v>
      </c>
      <c r="K114" s="10" t="s">
        <v>300</v>
      </c>
      <c r="L114" s="10" t="s">
        <v>299</v>
      </c>
      <c r="M114" s="10" t="s">
        <v>300</v>
      </c>
      <c r="N114" s="10" t="s">
        <v>299</v>
      </c>
      <c r="O114" s="10" t="s">
        <v>300</v>
      </c>
    </row>
    <row r="115" spans="2:15">
      <c r="B115" s="9" t="s">
        <v>166</v>
      </c>
      <c r="C115" s="9" t="s">
        <v>271</v>
      </c>
      <c r="D115" s="36">
        <f>D99/(costs_3h6d*exchange_CHF_USD)</f>
        <v>400.83617674087418</v>
      </c>
      <c r="E115" s="36">
        <f>E99/(costs_3h6d*exchange_EUR_USD)</f>
        <v>152.00650763137716</v>
      </c>
      <c r="F115" s="68">
        <f>F99/(costs_3h6d*exchange_CHF_USD)</f>
        <v>331.32544973520305</v>
      </c>
      <c r="G115" s="68">
        <f>G99/(costs_3h6d*exchange_EUR_USD)</f>
        <v>125.64640475603038</v>
      </c>
      <c r="H115" s="36">
        <f>H99/(costs_3h6d*exchange_CHF_USD)</f>
        <v>930.15174096968974</v>
      </c>
      <c r="I115" s="36">
        <f>I99/(costs_3h6d*exchange_EUR_USD)</f>
        <v>403.59244194150961</v>
      </c>
      <c r="J115" s="68">
        <f>J99/(costs_3h6d*exchange_CHF_USD)</f>
        <v>754.37503401478796</v>
      </c>
      <c r="K115" s="68">
        <f>K99/(costs_3h6d*exchange_EUR_USD)</f>
        <v>327.3230040942953</v>
      </c>
      <c r="L115" s="36">
        <f>L99/(costs_3h6d*exchange_CHF_USD)</f>
        <v>31178.029532623725</v>
      </c>
      <c r="M115" s="36">
        <f>M99/(costs_3h6d*exchange_EUR_USD)</f>
        <v>13767.649403344194</v>
      </c>
      <c r="N115" s="68">
        <f>N99/(costs_3h6d*exchange_CHF_USD)</f>
        <v>25852.10678203838</v>
      </c>
      <c r="O115" s="68">
        <f>O99/(costs_3h6d*exchange_EUR_USD)</f>
        <v>11415.819018982407</v>
      </c>
    </row>
    <row r="116" spans="2:15">
      <c r="C116" t="s">
        <v>272</v>
      </c>
      <c r="D116" s="68">
        <f>D100/(costs_8h7d*exchange_CHF_USD)</f>
        <v>1565.3583971575433</v>
      </c>
      <c r="E116" s="68">
        <f>E100/(costs_8h7d*exchange_EUR_USD)</f>
        <v>593.62072824377526</v>
      </c>
      <c r="F116" s="36">
        <f>F100/(costs_8h7d*exchange_CHF_USD)</f>
        <v>434.42412077288139</v>
      </c>
      <c r="G116" s="36">
        <f>G100/(costs_8h7d*exchange_EUR_USD)</f>
        <v>164.74384614292606</v>
      </c>
      <c r="H116" s="68">
        <f>H100/(costs_8h7d*exchange_CHF_USD)</f>
        <v>2627.8309790523831</v>
      </c>
      <c r="I116" s="68">
        <f>I100/(costs_8h7d*exchange_EUR_USD)</f>
        <v>1140.2147360812817</v>
      </c>
      <c r="J116" s="36">
        <f>J100/(costs_8h7d*exchange_CHF_USD)</f>
        <v>725.6043932702562</v>
      </c>
      <c r="K116" s="36">
        <f>K100/(costs_8h7d*exchange_EUR_USD)</f>
        <v>314.83943540022148</v>
      </c>
      <c r="L116" s="68">
        <f>L100/(costs_8h7d*exchange_CHF_USD)</f>
        <v>109581.62931440842</v>
      </c>
      <c r="M116" s="68">
        <f>M100/(costs_8h7d*exchange_EUR_USD)</f>
        <v>48389.249611472791</v>
      </c>
      <c r="N116" s="36">
        <f>N100/(costs_8h7d*exchange_CHF_USD)</f>
        <v>30574.171491429799</v>
      </c>
      <c r="O116" s="36">
        <f>O100/(costs_8h7d*exchange_EUR_USD)</f>
        <v>13500.996701901051</v>
      </c>
    </row>
    <row r="117" spans="2:15">
      <c r="C117" t="s">
        <v>274</v>
      </c>
      <c r="D117" s="68">
        <f>D101/(costs_8h7d*exchange_CHF_USD)</f>
        <v>1221.5998934787915</v>
      </c>
      <c r="E117" s="68">
        <f>E101/(costs_8h7d*exchange_EUR_USD)</f>
        <v>463.2594169528162</v>
      </c>
      <c r="F117" s="36">
        <f>F101/(costs_8h7d*exchange_CHF_USD)</f>
        <v>305.39997336969788</v>
      </c>
      <c r="G117" s="36">
        <f>G101/(costs_8h7d*exchange_EUR_USD)</f>
        <v>115.81485423820405</v>
      </c>
      <c r="H117" s="68">
        <f>H101/(costs_8h7d*exchange_CHF_USD)</f>
        <v>2067.4755315097714</v>
      </c>
      <c r="I117" s="68">
        <f>I101/(costs_8h7d*exchange_EUR_USD)</f>
        <v>864.97307745409364</v>
      </c>
      <c r="J117" s="36">
        <f>J101/(costs_8h7d*exchange_CHF_USD)</f>
        <v>516.86888287744284</v>
      </c>
      <c r="K117" s="36">
        <f>K101/(costs_8h7d*exchange_EUR_USD)</f>
        <v>224.2691868604318</v>
      </c>
      <c r="L117" s="68">
        <f>L101/(costs_8h7d*exchange_CHF_USD)</f>
        <v>87791.926422328208</v>
      </c>
      <c r="M117" s="68">
        <f>M101/(costs_8h7d*exchange_EUR_USD)</f>
        <v>38767.314084492406</v>
      </c>
      <c r="N117" s="36">
        <f>N101/(costs_8h7d*exchange_CHF_USD)</f>
        <v>21947.981605582052</v>
      </c>
      <c r="O117" s="36">
        <f>O101/(costs_8h7d*exchange_EUR_USD)</f>
        <v>9691.8285211231014</v>
      </c>
    </row>
    <row r="118" spans="2:15">
      <c r="C118" t="s">
        <v>72</v>
      </c>
      <c r="D118" s="36">
        <f>D102/(costs_4h6d*exchange_CHF_USD)</f>
        <v>293.6032856609836</v>
      </c>
      <c r="E118" s="36">
        <f>E102/(costs_4h6d*exchange_EUR_USD)</f>
        <v>111.34127274962785</v>
      </c>
      <c r="F118" s="68">
        <f>F102/(costs_4h6d*exchange_CHF_USD)</f>
        <v>224.96875135062379</v>
      </c>
      <c r="G118" s="68">
        <f>G102/(costs_4h6d*exchange_EUR_USD)</f>
        <v>85.313442756208332</v>
      </c>
      <c r="H118" s="36">
        <f>H102/(costs_4h6d*exchange_CHF_USD)</f>
        <v>431.78416139963861</v>
      </c>
      <c r="I118" s="36">
        <f>I102/(costs_4h6d*exchange_EUR_USD)</f>
        <v>187.35096266043081</v>
      </c>
      <c r="J118" s="68">
        <f>J102/(costs_4h6d*exchange_CHF_USD)</f>
        <v>300.37159053887899</v>
      </c>
      <c r="K118" s="68">
        <f>K102/(costs_4h6d*exchange_EUR_USD)</f>
        <v>130.33110445943009</v>
      </c>
      <c r="L118" s="36">
        <f>L102/(costs_4h6d*exchange_CHF_USD)</f>
        <v>20477.404598350262</v>
      </c>
      <c r="M118" s="36">
        <f>M102/(costs_4h6d*exchange_EUR_USD)</f>
        <v>9042.4485263097285</v>
      </c>
      <c r="N118" s="68">
        <f>N102/(costs_4h6d*exchange_CHF_USD)</f>
        <v>15843.831295073924</v>
      </c>
      <c r="O118" s="68">
        <f>O102/(costs_4h6d*exchange_EUR_USD)</f>
        <v>6996.3470349549716</v>
      </c>
    </row>
    <row r="119" spans="2:15">
      <c r="B119" t="s">
        <v>79</v>
      </c>
      <c r="C119" t="s">
        <v>80</v>
      </c>
      <c r="D119" s="68">
        <f>D103/(costs_8h5d*exchange_CHF_USD)</f>
        <v>122.70776666697789</v>
      </c>
      <c r="E119" s="68">
        <f>E103/(costs_8h5d*exchange_EUR_USD)</f>
        <v>46.533671740790233</v>
      </c>
      <c r="F119" s="36">
        <f>F103/(costs_8h5d*exchange_CHF_USD)</f>
        <v>62.556900653753409</v>
      </c>
      <c r="G119" s="36">
        <f>G103/(costs_8h5d*exchange_EUR_USD)</f>
        <v>23.723048338442073</v>
      </c>
      <c r="H119" s="68">
        <f>H103/(costs_8h5d*exchange_CHF_USD)</f>
        <v>309.47591826899162</v>
      </c>
      <c r="I119" s="68">
        <f>I103/(costs_8h5d*exchange_EUR_USD)</f>
        <v>134.28146836134721</v>
      </c>
      <c r="J119" s="36">
        <f>J103/(costs_8h5d*exchange_CHF_USD)</f>
        <v>146.59385602215391</v>
      </c>
      <c r="K119" s="36">
        <f>K103/(costs_8h5d*exchange_EUR_USD)</f>
        <v>63.607011329059191</v>
      </c>
      <c r="L119" s="68">
        <f>L103/(costs_8h5d*exchange_CHF_USD)</f>
        <v>10028.949904950601</v>
      </c>
      <c r="M119" s="68">
        <f>M103/(costs_8h5d*exchange_EUR_USD)</f>
        <v>4428.6014300738425</v>
      </c>
      <c r="N119" s="36">
        <f>N103/(costs_8h5d*exchange_CHF_USD)</f>
        <v>4841.5620230795985</v>
      </c>
      <c r="O119" s="36">
        <f>O103/(costs_8h5d*exchange_EUR_USD)</f>
        <v>2137.9455179666825</v>
      </c>
    </row>
    <row r="120" spans="2:15">
      <c r="B120" t="s">
        <v>89</v>
      </c>
      <c r="C120" t="s">
        <v>275</v>
      </c>
      <c r="D120" s="68">
        <f>D104/(costs_8h5d*exchange_CHF_USD)</f>
        <v>115.48966274539094</v>
      </c>
      <c r="E120" s="68">
        <f>E104/(costs_8h5d*exchange_EUR_USD)</f>
        <v>43.796396932508451</v>
      </c>
      <c r="F120" s="36">
        <f>F104/(costs_8h5d*exchange_CHF_USD)</f>
        <v>57.744831372695451</v>
      </c>
      <c r="G120" s="36">
        <f>G104/(costs_8h5d*exchange_EUR_USD)</f>
        <v>21.898198466254218</v>
      </c>
      <c r="H120" s="68">
        <f>H104/(costs_8h5d*exchange_CHF_USD)</f>
        <v>195.45847469620529</v>
      </c>
      <c r="I120" s="68">
        <f>I104/(costs_8h5d*exchange_EUR_USD)</f>
        <v>84.809348438745587</v>
      </c>
      <c r="J120" s="36">
        <f>J104/(costs_8h5d*exchange_CHF_USD)</f>
        <v>97.729237348102615</v>
      </c>
      <c r="K120" s="36">
        <f>K104/(costs_8h5d*exchange_EUR_USD)</f>
        <v>42.404674219372794</v>
      </c>
      <c r="L120" s="68">
        <f>L104/(costs_8h5d*exchange_CHF_USD)</f>
        <v>8299.8206109936</v>
      </c>
      <c r="M120" s="68">
        <f>M104/(costs_8h5d*exchange_EUR_USD)</f>
        <v>3665.0494593714566</v>
      </c>
      <c r="N120" s="36">
        <f>N104/(costs_8h5d*exchange_CHF_USD)</f>
        <v>4149.9103054968</v>
      </c>
      <c r="O120" s="36">
        <f>O104/(costs_8h5d*exchange_EUR_USD)</f>
        <v>1832.5247296857276</v>
      </c>
    </row>
    <row r="121" spans="2:15">
      <c r="C121" t="s">
        <v>276</v>
      </c>
      <c r="D121" s="68">
        <f>D105/(costs_8h5d*exchange_CHF_USD)</f>
        <v>577.44831372695455</v>
      </c>
      <c r="E121" s="68">
        <f>E105/(costs_8h5d*exchange_EUR_USD)</f>
        <v>218.98198466254223</v>
      </c>
      <c r="F121" s="36">
        <f>F105/(costs_8h5d*exchange_CHF_USD)</f>
        <v>240.60346405289772</v>
      </c>
      <c r="G121" s="36">
        <f>G105/(costs_8h5d*exchange_EUR_USD)</f>
        <v>91.242493609392596</v>
      </c>
      <c r="H121" s="68">
        <f>H105/(costs_8h5d*exchange_CHF_USD)</f>
        <v>977.29237348102606</v>
      </c>
      <c r="I121" s="68">
        <f>I105/(costs_8h5d*exchange_EUR_USD)</f>
        <v>424.04674219372794</v>
      </c>
      <c r="J121" s="36">
        <f>J105/(costs_8h5d*exchange_CHF_USD)</f>
        <v>407.20515561709431</v>
      </c>
      <c r="K121" s="36">
        <f>K105/(costs_8h5d*exchange_EUR_USD)</f>
        <v>176.68614258071997</v>
      </c>
      <c r="L121" s="68">
        <f>L105/(costs_8h5d*exchange_CHF_USD)</f>
        <v>41499.103054968</v>
      </c>
      <c r="M121" s="68">
        <f>M105/(costs_8h5d*exchange_EUR_USD)</f>
        <v>18325.247296857277</v>
      </c>
      <c r="N121" s="36">
        <f>N105/(costs_8h5d*exchange_CHF_USD)</f>
        <v>17291.292939569998</v>
      </c>
      <c r="O121" s="36">
        <f>O105/(costs_8h5d*exchange_EUR_USD)</f>
        <v>7635.5197070238655</v>
      </c>
    </row>
    <row r="122" spans="2:15">
      <c r="C122" t="s">
        <v>277</v>
      </c>
      <c r="D122" s="68">
        <f>D106/(costs_8h7d*exchange_CHF_USD)</f>
        <v>18.133123418825807</v>
      </c>
      <c r="E122" s="68">
        <f>E106/(costs_8h7d*exchange_EUR_USD)</f>
        <v>6.8765069703933648</v>
      </c>
      <c r="F122" s="36">
        <f>F106/(costs_8h7d*exchange_CHF_USD)</f>
        <v>9.5437491678030533</v>
      </c>
      <c r="G122" s="36">
        <f>G106/(costs_8h7d*exchange_EUR_USD)</f>
        <v>3.6192141949438761</v>
      </c>
      <c r="H122" s="68">
        <f>H106/(costs_8h7d*exchange_CHF_USD)</f>
        <v>32.304305179840171</v>
      </c>
      <c r="I122" s="68">
        <f>I106/(costs_8h7d*exchange_EUR_USD)</f>
        <v>14.016824178776984</v>
      </c>
      <c r="J122" s="36">
        <f>J106/(costs_8h7d*exchange_CHF_USD)</f>
        <v>12.921722071936067</v>
      </c>
      <c r="K122" s="36">
        <f>K106/(costs_8h7d*exchange_EUR_USD)</f>
        <v>5.6067296715107924</v>
      </c>
      <c r="L122" s="68">
        <f>L106/(costs_8h7d*exchange_CHF_USD)</f>
        <v>1303.161407831434</v>
      </c>
      <c r="M122" s="68">
        <f>M106/(costs_8h7d*exchange_EUR_USD)</f>
        <v>575.45231844168404</v>
      </c>
      <c r="N122" s="36">
        <f>N106/(costs_8h7d*exchange_CHF_USD)</f>
        <v>685.8744251744389</v>
      </c>
      <c r="O122" s="36">
        <f>O106/(costs_8h7d*exchange_EUR_USD)</f>
        <v>302.86964128509686</v>
      </c>
    </row>
    <row r="123" spans="2:15">
      <c r="B123" s="9" t="s">
        <v>75</v>
      </c>
      <c r="C123" s="9" t="s">
        <v>103</v>
      </c>
      <c r="D123" s="36">
        <f>D107/(costs_8h5d*exchange_CHF_USD)</f>
        <v>4.8120692810579548</v>
      </c>
      <c r="E123" s="36">
        <f>E107/(costs_8h5d*exchange_EUR_USD)</f>
        <v>1.8248498721878517</v>
      </c>
      <c r="H123" s="36">
        <f>H107/(costs_8h5d*exchange_CHF_USD)</f>
        <v>13.030564979747012</v>
      </c>
      <c r="I123" s="36">
        <f>I107/(costs_8h5d*exchange_EUR_USD)</f>
        <v>5.6539565625830379</v>
      </c>
      <c r="L123" s="36">
        <f>L107/(costs_8h5d*exchange_CHF_USD)</f>
        <v>414.99103054967992</v>
      </c>
      <c r="M123" s="36">
        <f>M107/(costs_8h5d*exchange_EUR_USD)</f>
        <v>183.25247296857276</v>
      </c>
    </row>
    <row r="124" spans="2:15">
      <c r="C124" t="s">
        <v>109</v>
      </c>
      <c r="D124" s="36">
        <f>D108/(costs_8h5d*exchange_CHF_USD)</f>
        <v>28.872415686347736</v>
      </c>
      <c r="E124" s="36">
        <f>E108/(costs_8h5d*exchange_EUR_USD)</f>
        <v>10.949099233127113</v>
      </c>
      <c r="H124" s="36">
        <f>H108/(costs_8h5d*exchange_CHF_USD)</f>
        <v>65.152824898735062</v>
      </c>
      <c r="I124" s="36">
        <f>I108/(costs_8h5d*exchange_EUR_USD)</f>
        <v>28.269782812915189</v>
      </c>
      <c r="L124" s="36">
        <f>L108/(costs_8h5d*exchange_CHF_USD)</f>
        <v>2334.3245468419495</v>
      </c>
      <c r="M124" s="36">
        <f>M108/(costs_8h5d*exchange_EUR_USD)</f>
        <v>1030.7951604482218</v>
      </c>
    </row>
    <row r="125" spans="2:15">
      <c r="C125" t="s">
        <v>112</v>
      </c>
      <c r="D125" s="36">
        <f>D109/(costs_8h5d*exchange_CHF_USD)</f>
        <v>18.04525980396733</v>
      </c>
      <c r="E125" s="36">
        <f>E109/(costs_8h5d*exchange_EUR_USD)</f>
        <v>6.843187020704443</v>
      </c>
      <c r="F125" s="59"/>
      <c r="H125" s="36">
        <f>H109/(costs_8h5d*exchange_CHF_USD)</f>
        <v>40.720515561709412</v>
      </c>
      <c r="I125" s="36">
        <f>I109/(costs_8h5d*exchange_EUR_USD)</f>
        <v>17.668614258071994</v>
      </c>
      <c r="L125" s="36">
        <f>L109/(costs_8h5d*exchange_CHF_USD)</f>
        <v>1729.1292939569996</v>
      </c>
      <c r="M125" s="36">
        <f>M109/(costs_8h5d*exchange_EUR_USD)</f>
        <v>763.55197070238648</v>
      </c>
    </row>
    <row r="126" spans="2:15">
      <c r="J126" s="59"/>
    </row>
    <row r="129" spans="2:15" ht="32.25" customHeight="1">
      <c r="C129" t="s">
        <v>290</v>
      </c>
      <c r="D129" s="95" t="s">
        <v>265</v>
      </c>
      <c r="E129" s="95"/>
      <c r="F129" s="95" t="s">
        <v>266</v>
      </c>
      <c r="G129" s="95"/>
      <c r="H129" s="95" t="s">
        <v>267</v>
      </c>
      <c r="I129" s="95"/>
      <c r="J129" s="95" t="s">
        <v>268</v>
      </c>
      <c r="K129" s="95"/>
      <c r="L129" s="95" t="s">
        <v>296</v>
      </c>
      <c r="M129" s="95"/>
      <c r="N129" s="95" t="s">
        <v>270</v>
      </c>
      <c r="O129" s="95"/>
    </row>
    <row r="130" spans="2:15" ht="15" customHeight="1">
      <c r="B130" s="79" t="s">
        <v>473</v>
      </c>
      <c r="D130" s="10" t="s">
        <v>299</v>
      </c>
      <c r="E130" s="10" t="s">
        <v>300</v>
      </c>
      <c r="F130" s="10" t="s">
        <v>299</v>
      </c>
      <c r="G130" s="10" t="s">
        <v>300</v>
      </c>
      <c r="H130" s="10" t="s">
        <v>299</v>
      </c>
      <c r="I130" s="10" t="s">
        <v>300</v>
      </c>
      <c r="J130" s="10" t="s">
        <v>299</v>
      </c>
      <c r="K130" s="10" t="s">
        <v>300</v>
      </c>
      <c r="L130" s="10" t="s">
        <v>299</v>
      </c>
      <c r="M130" s="10" t="s">
        <v>300</v>
      </c>
      <c r="N130" s="10" t="s">
        <v>299</v>
      </c>
      <c r="O130" s="10" t="s">
        <v>300</v>
      </c>
    </row>
    <row r="131" spans="2:15">
      <c r="B131" t="s">
        <v>166</v>
      </c>
      <c r="C131" t="s">
        <v>271</v>
      </c>
      <c r="D131" s="36">
        <f>(D160-D35-D51)/($J$23*$D6*lamps_irishpub)</f>
        <v>-31209.676611331401</v>
      </c>
      <c r="E131" s="36">
        <f>(E160-E35-E51)/($J$23*$D6*lamps_irishpub)</f>
        <v>-10662.153519404163</v>
      </c>
      <c r="F131" s="68">
        <f>(D160-F35-F51)/($J$23*E6*lamps_irishpub)</f>
        <v>-31183.098156293614</v>
      </c>
      <c r="G131" s="68">
        <f>(E160-G35-G51)/($J$23*E6*lamps_irishpub)</f>
        <v>-10634.990922497416</v>
      </c>
      <c r="H131" s="36">
        <f>(D160-H35-H51)/($J$25*$F6*lamps_irishpub)</f>
        <v>-2784.8809559813258</v>
      </c>
      <c r="I131" s="36">
        <f>(E160-I35-I51)/($J$25*$F6*lamps_irishpub)</f>
        <v>-954.5491502348217</v>
      </c>
      <c r="J131" s="68">
        <f>(D160-J35-J51)/($J$25*$G6*lamps_irishpub)</f>
        <v>-2779.3063566897322</v>
      </c>
      <c r="K131" s="68">
        <f>(E160-K35-K51)/($J$25*$G6*lamps_irishpub)</f>
        <v>-948.852032277479</v>
      </c>
      <c r="L131" s="36">
        <f>(D160-L35-L51)/($J$27*$H6*lamps_irishpub)</f>
        <v>-531.99106942368724</v>
      </c>
      <c r="M131" s="36">
        <f>(E160-M35-M51)/($J$27*$H6*lamps_irishpub)</f>
        <v>-125.8483380233924</v>
      </c>
      <c r="N131" s="68">
        <f>(F160-N35-N51)/($J$27*$I6*lamps_irishpub)</f>
        <v>-531.85906691494677</v>
      </c>
      <c r="O131" s="68">
        <f>(G160-O35-O51)/($J$27*$I6*lamps_irishpub)</f>
        <v>-125.71343436061362</v>
      </c>
    </row>
    <row r="132" spans="2:15">
      <c r="C132" t="s">
        <v>272</v>
      </c>
      <c r="D132" s="68">
        <f>(D161-D36-D52)/($J$23*$D7*lamps_fastfood)</f>
        <v>-21671.94698864529</v>
      </c>
      <c r="E132" s="68">
        <f>(E161-E36-E52)/($J$23*$D7*lamps_fastfood)</f>
        <v>-7448.1727117327009</v>
      </c>
      <c r="F132" s="36">
        <f>(D161-F36-F52)/($J$23*E7*lamps_fastfood)</f>
        <v>-21613.480311136569</v>
      </c>
      <c r="G132" s="36">
        <f>(E161-G36-G52)/($J$23*E7*lamps_fastfood)</f>
        <v>-7388.4210523007096</v>
      </c>
      <c r="H132" s="68">
        <f>(D161-H36-H52)/($J$25*$F7*lamps_fastfood)</f>
        <v>-1938.694833874451</v>
      </c>
      <c r="I132" s="68">
        <f>(E161-I36-I52)/($J$25*$F7*lamps_fastfood)</f>
        <v>-671.77721727824178</v>
      </c>
      <c r="J132" s="36">
        <f>(D161-J36-J52)/($J$25*$G7*lamps_fastfood)</f>
        <v>-1923.3254126222166</v>
      </c>
      <c r="K132" s="36">
        <f>(E161-K36-K52)/($J$25*$G7*lamps_fastfood)</f>
        <v>-656.07000654793671</v>
      </c>
      <c r="L132" s="68">
        <f>(H161-L36-L52)/($J$27*$H7*lamps_fastfood)</f>
        <v>-368.61889041533277</v>
      </c>
      <c r="M132" s="68">
        <f>(I161-M36-M52)/($J$27*$H7*lamps_fastfood)</f>
        <v>-87.450128694564242</v>
      </c>
      <c r="N132" s="36">
        <f>(J161-N36-N52)/($J$27*$I7*lamps_fastfood)</f>
        <v>-368.29274842153802</v>
      </c>
      <c r="O132" s="36">
        <f>(K161-O36-O52)/($J$27*$I7*lamps_fastfood)</f>
        <v>-87.116818744861888</v>
      </c>
    </row>
    <row r="133" spans="2:15">
      <c r="C133" t="s">
        <v>274</v>
      </c>
      <c r="D133" s="68">
        <f>(D162-D37-D53)/($J$23*$D8*lamps_queue)</f>
        <v>-281653.1522968433</v>
      </c>
      <c r="E133" s="68">
        <f>(E162-E37-E53)/($J$23*$D8*lamps_queue)</f>
        <v>-96742.281014440116</v>
      </c>
      <c r="F133" s="36">
        <f>(D162-F37-F53)/($J$23*E8*lamps_queue)</f>
        <v>-280530.78659436398</v>
      </c>
      <c r="G133" s="36">
        <f>(E162-G37-G53)/($J$23*E8*lamps_queue)</f>
        <v>-95595.247933884311</v>
      </c>
      <c r="H133" s="68">
        <f>(D162-H37-H53)/($J$25*$F8*lamps_queue)</f>
        <v>-25182.376102292768</v>
      </c>
      <c r="I133" s="68">
        <f>(E162-I37-I53)/($J$25*$F8*lamps_queue)</f>
        <v>-5533.715608465609</v>
      </c>
      <c r="J133" s="36">
        <f>(D162-J37-J53)/($J$25*$G8*lamps_queue)</f>
        <v>-24891.761904761908</v>
      </c>
      <c r="K133" s="36">
        <f>(E162-K37-K53)/($J$25*$G8*lamps_queue)</f>
        <v>-8414.991769547325</v>
      </c>
      <c r="L133" s="68">
        <f>(H162-L37-L53)/($J$27*$H8*lamps_queue)</f>
        <v>-4791.6383513547107</v>
      </c>
      <c r="M133" s="68">
        <f>(I162-M37-M53)/($J$27*$H8*lamps_queue)</f>
        <v>-1136.4354990057175</v>
      </c>
      <c r="N133" s="36">
        <f>(J162-N37-N53)/($J$27*$I8*lamps_queue)</f>
        <v>-4785.4944941585891</v>
      </c>
      <c r="O133" s="36">
        <f>(K162-O37-O53)/($J$27*$I8*lamps_queue)</f>
        <v>-1130.1566119811089</v>
      </c>
    </row>
    <row r="134" spans="2:15">
      <c r="C134" t="s">
        <v>72</v>
      </c>
      <c r="D134" s="36">
        <f>(D163-D38-D54)/($J$23*$D9*lamps_restaurant)</f>
        <v>-40067.237030336357</v>
      </c>
      <c r="E134" s="36">
        <f>(E163-E38-E54)/($J$23*$D9*lamps_restaurant)</f>
        <v>-13647.685581564514</v>
      </c>
      <c r="F134" s="68">
        <f>(D163-F38-F54)/($J$23*E9*lamps_restaurant)</f>
        <v>-39999.39424647273</v>
      </c>
      <c r="G134" s="68">
        <f>(E163-G38-G54)/($J$23*E9*lamps_restaurant)</f>
        <v>-13578.351747506091</v>
      </c>
      <c r="H134" s="36">
        <f>(D163-H38-H54)/($J$25*$F9*lamps_restaurant)</f>
        <v>-3545.0580549987039</v>
      </c>
      <c r="I134" s="36">
        <f>(E163-I38-I54)/($J$23*$F9*lamps_restaurant)</f>
        <v>-101192.84814564318</v>
      </c>
      <c r="J134" s="68">
        <f>(D163-J38-J54)/($J$25*$G9*lamps_restaurant)</f>
        <v>-3516.0679852187795</v>
      </c>
      <c r="K134" s="68">
        <f>(E163-K38-K54)/($J$25*$G9*lamps_restaurant)</f>
        <v>-1161.3668010414044</v>
      </c>
      <c r="L134" s="36">
        <f>(H163-L38-L54)/($J$27*$H9*lamps_restaurant)</f>
        <v>-683.55802892492272</v>
      </c>
      <c r="M134" s="36">
        <f>(I163-M38-M54)/($J$27*$H9*lamps_restaurant)</f>
        <v>-161.36505582991649</v>
      </c>
      <c r="N134" s="68">
        <f>(J163-N38-N54)/($J$27*$I9*lamps_restaurant)</f>
        <v>-683.19120528658334</v>
      </c>
      <c r="O134" s="68">
        <f>(K163-O38-O54)/($J$27*$I9*lamps_restaurant)</f>
        <v>-160.9901701335917</v>
      </c>
    </row>
    <row r="135" spans="2:15">
      <c r="B135" t="s">
        <v>79</v>
      </c>
      <c r="C135" t="s">
        <v>80</v>
      </c>
      <c r="D135" s="68">
        <f t="shared" ref="D135:E137" si="24">(D164-D39-D55)/($J$23*$D10*lamps_doctorsoffice)</f>
        <v>-278302.75629133364</v>
      </c>
      <c r="E135" s="68">
        <f t="shared" si="24"/>
        <v>-93318.249931886312</v>
      </c>
      <c r="F135" s="36">
        <f>(D164-F39-F55)/($J$23*E10*lamps_doctorsoffice)</f>
        <v>-274721.48907370277</v>
      </c>
      <c r="G135" s="36">
        <f>(E164-G39-G55)/($J$23*E10*lamps_doctorsoffice)</f>
        <v>-89658.273544637195</v>
      </c>
      <c r="H135" s="68">
        <f t="shared" ref="H135:I137" si="25">(D164-H39-H55)/($J$25*$F10*lamps_doctorsoffice)</f>
        <v>-24632.091339459763</v>
      </c>
      <c r="I135" s="68">
        <f t="shared" si="25"/>
        <v>-8149.6141588539249</v>
      </c>
      <c r="J135" s="36">
        <f t="shared" ref="J135:K137" si="26">(D164-J39-J55)/($J$25*$G10*lamps_doctorsoffice)</f>
        <v>-23913.028937226474</v>
      </c>
      <c r="K135" s="36">
        <f t="shared" si="26"/>
        <v>-7414.7481873407814</v>
      </c>
      <c r="L135" s="68">
        <f t="shared" ref="L135:M137" si="27">(H164-L39-L55)/($J$27*$H10*lamps_doctorsoffice)</f>
        <v>-4775.7588349747575</v>
      </c>
      <c r="M135" s="68">
        <f t="shared" si="27"/>
        <v>-1120.206982265765</v>
      </c>
      <c r="N135" s="36">
        <f t="shared" ref="N135:O137" si="28">(J164-N39-N55)/($J$27*$I10*lamps_doctorsoffice)</f>
        <v>-4756.5508327119069</v>
      </c>
      <c r="O135" s="36">
        <f t="shared" si="28"/>
        <v>-1100.5768261070275</v>
      </c>
    </row>
    <row r="136" spans="2:15">
      <c r="B136" t="s">
        <v>89</v>
      </c>
      <c r="C136" t="s">
        <v>275</v>
      </c>
      <c r="D136" s="68">
        <f t="shared" si="24"/>
        <v>-278069.97392218764</v>
      </c>
      <c r="E136" s="68">
        <f t="shared" si="24"/>
        <v>-93080.351466715103</v>
      </c>
      <c r="F136" s="36">
        <f>(D165-F40-F56)/($J$23*E11*lamps_doctorsoffice)</f>
        <v>-274112.67364670552</v>
      </c>
      <c r="G136" s="36">
        <f>(E165-G40-G56)/($J$23*E11*lamps_doctorsoffice)</f>
        <v>-89036.077558804842</v>
      </c>
      <c r="H136" s="68">
        <f t="shared" si="25"/>
        <v>-24254.583578287289</v>
      </c>
      <c r="I136" s="68">
        <f t="shared" si="25"/>
        <v>-7763.8095238095257</v>
      </c>
      <c r="J136" s="36">
        <f t="shared" si="26"/>
        <v>-23229.919655104844</v>
      </c>
      <c r="K136" s="36">
        <f t="shared" si="26"/>
        <v>-6716.6255144032939</v>
      </c>
      <c r="L136" s="68">
        <f t="shared" si="27"/>
        <v>-4772.0239456458694</v>
      </c>
      <c r="M136" s="68">
        <f t="shared" si="27"/>
        <v>-1116.3900074571216</v>
      </c>
      <c r="N136" s="36">
        <f t="shared" si="28"/>
        <v>-4750.3615875383221</v>
      </c>
      <c r="O136" s="36">
        <f t="shared" si="28"/>
        <v>-1094.25155356699</v>
      </c>
    </row>
    <row r="137" spans="2:15">
      <c r="C137" t="s">
        <v>276</v>
      </c>
      <c r="D137" s="68">
        <f t="shared" si="24"/>
        <v>-281235.81414257333</v>
      </c>
      <c r="E137" s="68">
        <f t="shared" si="24"/>
        <v>-96315.770593043329</v>
      </c>
      <c r="F137" s="36">
        <f>(D166-F41-F57)/($J$23*E12*lamps_doctorsoffice)</f>
        <v>-280127.77006543829</v>
      </c>
      <c r="G137" s="36">
        <f>(E166-G41-G57)/($J$23*E12*lamps_doctorsoffice)</f>
        <v>-95183.373898828446</v>
      </c>
      <c r="H137" s="68">
        <f t="shared" si="25"/>
        <v>-25074.31471683324</v>
      </c>
      <c r="I137" s="68">
        <f t="shared" si="25"/>
        <v>-8601.5567313345109</v>
      </c>
      <c r="J137" s="36">
        <f t="shared" si="26"/>
        <v>-24787.408818342155</v>
      </c>
      <c r="K137" s="36">
        <f t="shared" si="26"/>
        <v>-8308.3452087007645</v>
      </c>
      <c r="L137" s="68">
        <f t="shared" si="27"/>
        <v>-4789.3538321319083</v>
      </c>
      <c r="M137" s="68">
        <f t="shared" si="27"/>
        <v>-1134.1007705692271</v>
      </c>
      <c r="N137" s="36">
        <f t="shared" si="28"/>
        <v>-4783.288371861795</v>
      </c>
      <c r="O137" s="36">
        <f t="shared" si="28"/>
        <v>-1127.9020034799901</v>
      </c>
    </row>
    <row r="138" spans="2:15">
      <c r="B138" s="9"/>
      <c r="C138" s="9" t="s">
        <v>277</v>
      </c>
      <c r="D138" s="68">
        <f>(D167-D42-D58)/($J$23*$D13*lamps_spitalthun)</f>
        <v>-51364.654491556568</v>
      </c>
      <c r="E138" s="68">
        <f>(E167-E42-E58)/($J$23*$D13*lamps_spitalthun)</f>
        <v>-14273.337906113031</v>
      </c>
      <c r="F138" s="36">
        <f>(D167-F42-F58)/($J$23*E13*lamps_spitalthun)</f>
        <v>-46827.934178376912</v>
      </c>
      <c r="G138" s="36">
        <f>(E167-G42-G58)/($J$23*E13*lamps_spitalthun)</f>
        <v>-9636.9094541821796</v>
      </c>
      <c r="H138" s="68">
        <f>(D167-H42-H58)/($J$25*$F13*lamps_spitalthun)</f>
        <v>-3815.895590828924</v>
      </c>
      <c r="I138" s="68">
        <f>(E167-I42-I58)/($J$25*$F13*lamps_spitalthun)</f>
        <v>-494.99306290417388</v>
      </c>
      <c r="J138" s="36">
        <f>(D167-J42-J58)/($J$25*$G13*lamps_spitalthun)</f>
        <v>-1955.9647266313932</v>
      </c>
      <c r="K138" s="36">
        <f>(E167-K42-K58)/($J$25*$G13*lamps_spitalthun)</f>
        <v>1405.8154027042929</v>
      </c>
      <c r="L138" s="68">
        <f>(H167-L42-L58)/($J$27*$H13*lamps_spitalthun)</f>
        <v>-931.14379685230983</v>
      </c>
      <c r="M138" s="68">
        <f>(I167-M42-M58)/($J$27*$H13*lamps_spitalthun)</f>
        <v>-199.50577861506864</v>
      </c>
      <c r="N138" s="36">
        <f>(J167-N42-N58)/($J$27*$I13*lamps_spitalthun)</f>
        <v>-906.30967934377315</v>
      </c>
      <c r="O138" s="36">
        <f>(K167-O42-O58)/($J$27*$I13*lamps_spitalthun)</f>
        <v>-174.12585632612476</v>
      </c>
    </row>
    <row r="139" spans="2:15">
      <c r="B139" t="s">
        <v>75</v>
      </c>
      <c r="C139" t="s">
        <v>103</v>
      </c>
      <c r="D139" s="36">
        <f>(D168-D43-D59)/($J$23*$D14*lamps_office17)</f>
        <v>-187052.06758609944</v>
      </c>
      <c r="E139" s="36">
        <f>(E168-E43-E59)/($J$23*$D14*lamps_office17)</f>
        <v>-62.051584778839548</v>
      </c>
      <c r="H139" s="36">
        <f>(D168-H43-H59)/($J$25*$F14*lamps_office17)</f>
        <v>-9909.2886537330924</v>
      </c>
      <c r="I139" s="36">
        <f>(E168-I43-I59)/($J$25*$F14*lamps_office17)</f>
        <v>6896.7666078777247</v>
      </c>
      <c r="L139" s="36">
        <f>(H168-L43-L59)/($J$27*$H14*lamps_office17)</f>
        <v>-4360.4391416024528</v>
      </c>
      <c r="M139" s="36">
        <f>(I168-M43-M59)/($J$27*$H14*lamps_office17)</f>
        <v>-695.75938354461834</v>
      </c>
    </row>
    <row r="140" spans="2:15">
      <c r="C140" t="s">
        <v>109</v>
      </c>
      <c r="D140" s="36">
        <f>(D169-D44-D60)/($J$23*$D15*lamps_office08)</f>
        <v>-33274.759136967667</v>
      </c>
      <c r="E140" s="36">
        <f>(E169-E44-E60)/($J$23*$D15*lamps_office08)</f>
        <v>-10118.441217873038</v>
      </c>
      <c r="H140" s="36">
        <f>(D169-H44-H60)/($J$25*$F15*lamps_office08)</f>
        <v>-2775.6569664903</v>
      </c>
      <c r="I140" s="36">
        <f>(E169-I44-I60)/($J$25*$F15*lamps_office08)</f>
        <v>-708.68018812463265</v>
      </c>
      <c r="L140" s="36">
        <f>(H169-L44-L60)/($J$27*$H15*lamps_office08)</f>
        <v>-589.58307325471151</v>
      </c>
      <c r="M140" s="36">
        <f>(I169-M44-M60)/($J$27*$H15*lamps_office08)</f>
        <v>-132.47674482834813</v>
      </c>
    </row>
    <row r="141" spans="2:15">
      <c r="C141" t="s">
        <v>112</v>
      </c>
      <c r="D141" s="36">
        <f>(D170-D45-D61)/($J$23*$D16*lamps_office16)</f>
        <v>-85566.850811528115</v>
      </c>
      <c r="E141" s="36">
        <f>(E170-E45-E61)/($J$23*$D16*lamps_office16)</f>
        <v>-23747.090787999881</v>
      </c>
      <c r="H141" s="36">
        <f>(D170-H45-H61)/($J$25*$F16*lamps_office16)</f>
        <v>-6786.9535567313351</v>
      </c>
      <c r="I141" s="36">
        <f>(E170-I45-I61)/($J$25*$F16*lamps_office16)</f>
        <v>-1261.5034293552806</v>
      </c>
      <c r="L141" s="36">
        <f>(H170-L45-L61)/($J$27*$H16*lamps_office16)</f>
        <v>-1563.2356616123957</v>
      </c>
      <c r="M141" s="36">
        <f>(I170-M45-M61)/($J$27*$H16*lamps_office16)</f>
        <v>-344.08796089154032</v>
      </c>
    </row>
    <row r="142" spans="2:15">
      <c r="I142" s="36"/>
    </row>
    <row r="144" spans="2:15" ht="25.5" customHeight="1">
      <c r="C144" t="s">
        <v>290</v>
      </c>
      <c r="D144" s="95" t="s">
        <v>475</v>
      </c>
      <c r="E144" s="95"/>
      <c r="F144" s="93" t="s">
        <v>476</v>
      </c>
      <c r="G144" s="91"/>
      <c r="H144" s="95" t="s">
        <v>477</v>
      </c>
      <c r="I144" s="95"/>
      <c r="J144" s="95" t="s">
        <v>478</v>
      </c>
      <c r="K144" s="95"/>
      <c r="L144" s="95" t="s">
        <v>296</v>
      </c>
      <c r="M144" s="95"/>
      <c r="N144" s="95" t="s">
        <v>270</v>
      </c>
      <c r="O144" s="95"/>
    </row>
    <row r="145" spans="2:15">
      <c r="B145" s="79" t="s">
        <v>474</v>
      </c>
      <c r="D145" s="10" t="s">
        <v>299</v>
      </c>
      <c r="E145" s="10" t="s">
        <v>300</v>
      </c>
      <c r="F145" s="10" t="s">
        <v>299</v>
      </c>
      <c r="G145" s="10" t="s">
        <v>300</v>
      </c>
      <c r="H145" s="10" t="s">
        <v>299</v>
      </c>
      <c r="I145" s="10" t="s">
        <v>300</v>
      </c>
      <c r="J145" s="10" t="s">
        <v>299</v>
      </c>
      <c r="K145" s="10" t="s">
        <v>300</v>
      </c>
      <c r="L145" s="10" t="s">
        <v>299</v>
      </c>
      <c r="M145" s="10" t="s">
        <v>300</v>
      </c>
      <c r="N145" s="10" t="s">
        <v>299</v>
      </c>
      <c r="O145" s="10" t="s">
        <v>300</v>
      </c>
    </row>
    <row r="146" spans="2:15">
      <c r="B146" t="s">
        <v>166</v>
      </c>
      <c r="C146" t="s">
        <v>271</v>
      </c>
      <c r="D146" s="36">
        <f t="shared" ref="D146:D156" si="29">($D160)/($J$23*D6)</f>
        <v>1140.1846956870886</v>
      </c>
      <c r="E146" s="36">
        <f t="shared" ref="E146:E156" si="30">($E160)/($J$23*D6)</f>
        <v>1165.2436999879033</v>
      </c>
      <c r="F146" s="68">
        <f t="shared" ref="F146:F153" si="31">(D160)/($J$23*E6)</f>
        <v>1379.3907910271553</v>
      </c>
      <c r="G146" s="68">
        <f t="shared" ref="G146:G153" si="32">(E160)/($J$23*E6)</f>
        <v>1409.7070721486307</v>
      </c>
      <c r="H146" s="36">
        <f t="shared" ref="H146:H156" si="33">(F160)/($J$25*F6)</f>
        <v>215.31889763779537</v>
      </c>
      <c r="I146" s="36">
        <f t="shared" ref="I146:J153" si="34">(G160)/($J$25*F6)</f>
        <v>220.05118110236225</v>
      </c>
      <c r="J146" s="68">
        <f t="shared" si="34"/>
        <v>265.490291262136</v>
      </c>
      <c r="K146" s="68">
        <f t="shared" ref="K146:K153" si="35">(I160)/($J$25*G6)</f>
        <v>271.32524271844659</v>
      </c>
      <c r="L146" s="81">
        <f t="shared" ref="L146:L156" si="36">(J160)/($J$27*H6)</f>
        <v>5.7666789402333123</v>
      </c>
      <c r="M146" s="81">
        <f t="shared" ref="M146:N153" si="37">(K160)/($J$27*H6)</f>
        <v>5.8934191367219553</v>
      </c>
      <c r="N146" s="80">
        <f t="shared" si="37"/>
        <v>6.9547015188979175</v>
      </c>
      <c r="O146" s="80">
        <f t="shared" ref="O146:O153" si="38">(M160)/($J$27*I6)</f>
        <v>7.1075521017308372</v>
      </c>
    </row>
    <row r="147" spans="2:15">
      <c r="C147" t="s">
        <v>272</v>
      </c>
      <c r="D147" s="68">
        <f t="shared" si="29"/>
        <v>291.96334528090364</v>
      </c>
      <c r="E147" s="68">
        <f t="shared" si="30"/>
        <v>298.38012210026409</v>
      </c>
      <c r="F147" s="36">
        <f t="shared" si="31"/>
        <v>1052.030152894308</v>
      </c>
      <c r="G147" s="36">
        <f t="shared" si="32"/>
        <v>1075.1516947161608</v>
      </c>
      <c r="H147" s="68">
        <f t="shared" si="33"/>
        <v>76.214661101868913</v>
      </c>
      <c r="I147" s="68">
        <f t="shared" si="34"/>
        <v>77.889708598613268</v>
      </c>
      <c r="J147" s="36">
        <f t="shared" si="34"/>
        <v>276.01713738091223</v>
      </c>
      <c r="K147" s="36">
        <f t="shared" si="35"/>
        <v>282.08344809258057</v>
      </c>
      <c r="L147" s="80">
        <f t="shared" si="36"/>
        <v>1.6407283540920408</v>
      </c>
      <c r="M147" s="80">
        <f t="shared" si="37"/>
        <v>1.6767883179182392</v>
      </c>
      <c r="N147" s="81">
        <f t="shared" si="37"/>
        <v>5.8805742734239317</v>
      </c>
      <c r="O147" s="81">
        <f t="shared" si="38"/>
        <v>6.0098176640486329</v>
      </c>
    </row>
    <row r="148" spans="2:15">
      <c r="C148" t="s">
        <v>274</v>
      </c>
      <c r="D148" s="68">
        <f t="shared" si="29"/>
        <v>374.12190082644634</v>
      </c>
      <c r="E148" s="68">
        <f t="shared" si="30"/>
        <v>382.3443601852693</v>
      </c>
      <c r="F148" s="36">
        <f t="shared" si="31"/>
        <v>1496.4876033057853</v>
      </c>
      <c r="G148" s="36">
        <f t="shared" si="32"/>
        <v>1529.3774407410772</v>
      </c>
      <c r="H148" s="68">
        <f t="shared" si="33"/>
        <v>96.871399176954739</v>
      </c>
      <c r="I148" s="68">
        <f t="shared" si="34"/>
        <v>99.000440917107596</v>
      </c>
      <c r="J148" s="36">
        <f t="shared" si="34"/>
        <v>387.48559670781896</v>
      </c>
      <c r="K148" s="36">
        <f t="shared" si="35"/>
        <v>396.00176366843039</v>
      </c>
      <c r="L148" s="80">
        <f t="shared" si="36"/>
        <v>2.0479523987074324</v>
      </c>
      <c r="M148" s="80">
        <f t="shared" si="37"/>
        <v>2.0929623415361673</v>
      </c>
      <c r="N148" s="81">
        <f t="shared" si="37"/>
        <v>8.1918095948297296</v>
      </c>
      <c r="O148" s="81">
        <f t="shared" si="38"/>
        <v>8.3718493661446693</v>
      </c>
    </row>
    <row r="149" spans="2:15">
      <c r="C149" t="s">
        <v>72</v>
      </c>
      <c r="D149" s="36">
        <f t="shared" si="29"/>
        <v>1556.6149853152108</v>
      </c>
      <c r="E149" s="36">
        <f t="shared" si="30"/>
        <v>1590.8263036737872</v>
      </c>
      <c r="F149" s="68">
        <f t="shared" si="31"/>
        <v>2031.5144723605297</v>
      </c>
      <c r="G149" s="68">
        <f t="shared" si="32"/>
        <v>2076.1631420827393</v>
      </c>
      <c r="H149" s="36">
        <f t="shared" si="33"/>
        <v>463.84111647879763</v>
      </c>
      <c r="I149" s="36">
        <f t="shared" si="34"/>
        <v>474.03542673107899</v>
      </c>
      <c r="J149" s="68">
        <f t="shared" si="34"/>
        <v>666.77160493827182</v>
      </c>
      <c r="K149" s="68">
        <f t="shared" si="35"/>
        <v>681.42592592592621</v>
      </c>
      <c r="L149" s="81">
        <f t="shared" si="36"/>
        <v>8.7801012789598492</v>
      </c>
      <c r="M149" s="81">
        <f t="shared" si="37"/>
        <v>8.9730705378380886</v>
      </c>
      <c r="N149" s="80">
        <f t="shared" si="37"/>
        <v>11.347866747334901</v>
      </c>
      <c r="O149" s="80">
        <f t="shared" si="38"/>
        <v>11.597270412111495</v>
      </c>
    </row>
    <row r="150" spans="2:15">
      <c r="B150" t="s">
        <v>79</v>
      </c>
      <c r="C150" t="s">
        <v>80</v>
      </c>
      <c r="D150" s="68">
        <f t="shared" si="29"/>
        <v>3724.5179063360874</v>
      </c>
      <c r="E150" s="68">
        <f t="shared" si="30"/>
        <v>3806.3754427390791</v>
      </c>
      <c r="F150" s="36">
        <f t="shared" si="31"/>
        <v>7305.7851239669435</v>
      </c>
      <c r="G150" s="36">
        <f t="shared" si="32"/>
        <v>7466.3518299881953</v>
      </c>
      <c r="H150" s="68">
        <f t="shared" si="33"/>
        <v>647.15616200996317</v>
      </c>
      <c r="I150" s="68">
        <f t="shared" si="34"/>
        <v>661.37937436183051</v>
      </c>
      <c r="J150" s="36">
        <f t="shared" si="34"/>
        <v>1366.218564243256</v>
      </c>
      <c r="K150" s="36">
        <f t="shared" si="35"/>
        <v>1396.245345874976</v>
      </c>
      <c r="L150" s="68">
        <f t="shared" si="36"/>
        <v>17.927468778660632</v>
      </c>
      <c r="M150" s="68">
        <f t="shared" si="37"/>
        <v>18.321479081488338</v>
      </c>
      <c r="N150" s="36">
        <f t="shared" si="37"/>
        <v>37.135471041511316</v>
      </c>
      <c r="O150" s="36">
        <f t="shared" si="38"/>
        <v>37.951635240225855</v>
      </c>
    </row>
    <row r="151" spans="2:15">
      <c r="B151" t="s">
        <v>89</v>
      </c>
      <c r="C151" t="s">
        <v>275</v>
      </c>
      <c r="D151" s="68">
        <f t="shared" si="29"/>
        <v>3957.3002754820932</v>
      </c>
      <c r="E151" s="68">
        <f t="shared" si="30"/>
        <v>4044.2739079102716</v>
      </c>
      <c r="F151" s="36">
        <f t="shared" si="31"/>
        <v>7914.6005509641891</v>
      </c>
      <c r="G151" s="36">
        <f t="shared" si="32"/>
        <v>8088.547815820546</v>
      </c>
      <c r="H151" s="68">
        <f t="shared" si="33"/>
        <v>1024.6639231824417</v>
      </c>
      <c r="I151" s="68">
        <f t="shared" si="34"/>
        <v>1047.1840094062318</v>
      </c>
      <c r="J151" s="36">
        <f t="shared" si="34"/>
        <v>2049.327846364884</v>
      </c>
      <c r="K151" s="36">
        <f t="shared" si="35"/>
        <v>2094.368018812464</v>
      </c>
      <c r="L151" s="68">
        <f t="shared" si="36"/>
        <v>21.662358107548261</v>
      </c>
      <c r="M151" s="68">
        <f t="shared" si="37"/>
        <v>22.138453890131743</v>
      </c>
      <c r="N151" s="36">
        <f t="shared" si="37"/>
        <v>43.324716215096529</v>
      </c>
      <c r="O151" s="36">
        <f t="shared" si="38"/>
        <v>44.276907780263492</v>
      </c>
    </row>
    <row r="152" spans="2:15">
      <c r="C152" t="s">
        <v>276</v>
      </c>
      <c r="D152" s="68">
        <f t="shared" si="29"/>
        <v>791.46005509641884</v>
      </c>
      <c r="E152" s="68">
        <f t="shared" si="30"/>
        <v>808.85478158205456</v>
      </c>
      <c r="F152" s="36">
        <f t="shared" si="31"/>
        <v>1899.504132231405</v>
      </c>
      <c r="G152" s="36">
        <f t="shared" si="32"/>
        <v>1941.2514757969307</v>
      </c>
      <c r="H152" s="68">
        <f t="shared" si="33"/>
        <v>204.93278463648838</v>
      </c>
      <c r="I152" s="68">
        <f t="shared" si="34"/>
        <v>209.4368018812464</v>
      </c>
      <c r="J152" s="36">
        <f t="shared" si="34"/>
        <v>491.8386831275721</v>
      </c>
      <c r="K152" s="36">
        <f t="shared" si="35"/>
        <v>502.64832451499132</v>
      </c>
      <c r="L152" s="68">
        <f t="shared" si="36"/>
        <v>4.3324716215096535</v>
      </c>
      <c r="M152" s="68">
        <f t="shared" si="37"/>
        <v>4.4276907780263492</v>
      </c>
      <c r="N152" s="36">
        <f t="shared" si="37"/>
        <v>10.397931891623168</v>
      </c>
      <c r="O152" s="36">
        <f t="shared" si="38"/>
        <v>10.626457867263239</v>
      </c>
    </row>
    <row r="153" spans="2:15">
      <c r="B153" s="9"/>
      <c r="C153" s="9" t="s">
        <v>277</v>
      </c>
      <c r="D153" s="68">
        <f t="shared" si="29"/>
        <v>25204.001739886906</v>
      </c>
      <c r="E153" s="68">
        <f t="shared" si="30"/>
        <v>25757.935844060248</v>
      </c>
      <c r="F153" s="36">
        <f t="shared" si="31"/>
        <v>47887.603305785131</v>
      </c>
      <c r="G153" s="36">
        <f t="shared" si="32"/>
        <v>48940.078103714484</v>
      </c>
      <c r="H153" s="68">
        <f t="shared" si="33"/>
        <v>6199.7695473251033</v>
      </c>
      <c r="I153" s="68">
        <f t="shared" si="34"/>
        <v>6336.0282186948871</v>
      </c>
      <c r="J153" s="36">
        <f t="shared" si="34"/>
        <v>15499.423868312762</v>
      </c>
      <c r="K153" s="36">
        <f t="shared" si="35"/>
        <v>15840.070546737221</v>
      </c>
      <c r="L153" s="68">
        <f t="shared" si="36"/>
        <v>137.96731949186912</v>
      </c>
      <c r="M153" s="68">
        <f t="shared" si="37"/>
        <v>140.99956827191022</v>
      </c>
      <c r="N153" s="36">
        <f t="shared" si="37"/>
        <v>262.13790703455135</v>
      </c>
      <c r="O153" s="36">
        <f t="shared" si="38"/>
        <v>267.89917971662948</v>
      </c>
    </row>
    <row r="154" spans="2:15">
      <c r="B154" t="s">
        <v>75</v>
      </c>
      <c r="C154" t="s">
        <v>103</v>
      </c>
      <c r="D154" s="36">
        <f t="shared" si="29"/>
        <v>94975.206611570291</v>
      </c>
      <c r="E154" s="36">
        <f t="shared" si="30"/>
        <v>97062.573789846545</v>
      </c>
      <c r="H154" s="36">
        <f t="shared" si="33"/>
        <v>15369.958847736634</v>
      </c>
      <c r="I154" s="36">
        <f>(G168)/($J$25*F14)</f>
        <v>15707.760141093482</v>
      </c>
      <c r="L154" s="36">
        <f t="shared" si="36"/>
        <v>433.24716215096544</v>
      </c>
      <c r="M154" s="36">
        <f>(K168)/($J$27*H14)</f>
        <v>442.76907780263497</v>
      </c>
    </row>
    <row r="155" spans="2:15">
      <c r="C155" t="s">
        <v>109</v>
      </c>
      <c r="D155" s="36">
        <f t="shared" si="29"/>
        <v>15829.201101928375</v>
      </c>
      <c r="E155" s="36">
        <f t="shared" si="30"/>
        <v>16177.095631641088</v>
      </c>
      <c r="H155" s="36">
        <f t="shared" si="33"/>
        <v>3073.9917695473264</v>
      </c>
      <c r="I155" s="36">
        <f>(G169)/($J$25*F15)</f>
        <v>3141.5520282186963</v>
      </c>
      <c r="L155" s="36">
        <f t="shared" si="36"/>
        <v>77.021717715727192</v>
      </c>
      <c r="M155" s="36">
        <f>(K169)/($J$27*H15)</f>
        <v>78.714502720468445</v>
      </c>
    </row>
    <row r="156" spans="2:15">
      <c r="C156" t="s">
        <v>112</v>
      </c>
      <c r="D156" s="36">
        <f t="shared" si="29"/>
        <v>25326.72176308541</v>
      </c>
      <c r="E156" s="36">
        <f t="shared" si="30"/>
        <v>25883.353010625749</v>
      </c>
      <c r="F156" s="59">
        <f>AVERAGE(F150:F153)</f>
        <v>16251.873278236917</v>
      </c>
      <c r="H156" s="36">
        <f t="shared" si="33"/>
        <v>4918.3868312757231</v>
      </c>
      <c r="I156" s="36">
        <f>(G170)/($J$25*F16)</f>
        <v>5026.4832451499151</v>
      </c>
      <c r="J156" s="59">
        <f>AVERAGE(J150:J153)</f>
        <v>4851.7022405121188</v>
      </c>
      <c r="L156" s="36">
        <f t="shared" si="36"/>
        <v>103.97931891623172</v>
      </c>
      <c r="M156" s="36">
        <f>(K170)/($J$27*H16)</f>
        <v>106.26457867263242</v>
      </c>
      <c r="N156" s="59">
        <f>AVERAGE(N150:N153)</f>
        <v>88.249006545695593</v>
      </c>
    </row>
    <row r="157" spans="2:15">
      <c r="D157" s="36"/>
      <c r="E157" s="36"/>
      <c r="H157" s="36"/>
      <c r="I157" s="36"/>
      <c r="L157" s="36"/>
      <c r="M157" s="36"/>
    </row>
    <row r="159" spans="2:15">
      <c r="B159" s="57" t="s">
        <v>306</v>
      </c>
      <c r="C159" s="56"/>
      <c r="D159" s="10" t="s">
        <v>299</v>
      </c>
      <c r="E159" s="10" t="s">
        <v>300</v>
      </c>
    </row>
    <row r="160" spans="2:15">
      <c r="B160" s="9" t="s">
        <v>166</v>
      </c>
      <c r="C160" s="9" t="s">
        <v>271</v>
      </c>
      <c r="D160" s="51">
        <f>1/(D115/D83)</f>
        <v>1488.4702560000005</v>
      </c>
      <c r="E160" s="51">
        <f>1/(E115/E83)</f>
        <v>1521.183888</v>
      </c>
      <c r="F160" s="51">
        <v>1488.4702560000005</v>
      </c>
      <c r="G160" s="51">
        <v>1521.183888</v>
      </c>
      <c r="H160" s="51">
        <v>1488.4702560000005</v>
      </c>
      <c r="I160" s="51">
        <v>1521.183888</v>
      </c>
      <c r="J160" s="51">
        <v>1488.4702560000005</v>
      </c>
      <c r="K160" s="51">
        <v>1521.183888</v>
      </c>
      <c r="L160" s="51">
        <v>1488.4702560000005</v>
      </c>
      <c r="M160" s="51">
        <v>1521.183888</v>
      </c>
      <c r="N160" s="51">
        <v>1488.4702560000005</v>
      </c>
      <c r="O160" s="51">
        <v>1521.183888</v>
      </c>
    </row>
    <row r="161" spans="2:15">
      <c r="C161" t="s">
        <v>272</v>
      </c>
      <c r="D161" s="51">
        <f t="shared" ref="D161:D170" si="39">1/(D116/D84)</f>
        <v>2193.5280640000005</v>
      </c>
      <c r="E161" s="51">
        <f t="shared" ref="E161:E170" si="40">1/(E116/E84)</f>
        <v>2241.7374720000003</v>
      </c>
      <c r="F161" s="51">
        <v>2193.5280640000005</v>
      </c>
      <c r="G161" s="51">
        <v>2241.7374720000003</v>
      </c>
      <c r="H161" s="51">
        <v>2193.5280640000005</v>
      </c>
      <c r="I161" s="51">
        <v>2241.7374720000003</v>
      </c>
      <c r="J161" s="51">
        <v>2193.5280640000005</v>
      </c>
      <c r="K161" s="51">
        <v>2241.7374720000003</v>
      </c>
      <c r="L161" s="51">
        <v>2193.5280640000005</v>
      </c>
      <c r="M161" s="51">
        <v>2241.7374720000003</v>
      </c>
      <c r="N161" s="51">
        <v>2193.5280640000005</v>
      </c>
      <c r="O161" s="51">
        <v>2241.7374720000003</v>
      </c>
    </row>
    <row r="162" spans="2:15">
      <c r="C162" t="s">
        <v>274</v>
      </c>
      <c r="D162" s="51">
        <f t="shared" si="39"/>
        <v>168.73292800000002</v>
      </c>
      <c r="E162" s="51">
        <f t="shared" si="40"/>
        <v>172.44134400000002</v>
      </c>
      <c r="F162" s="51">
        <v>168.73292800000002</v>
      </c>
      <c r="G162" s="51">
        <v>172.44134400000002</v>
      </c>
      <c r="H162" s="51">
        <v>168.73292800000002</v>
      </c>
      <c r="I162" s="51">
        <v>172.44134400000002</v>
      </c>
      <c r="J162" s="51">
        <v>168.73292800000002</v>
      </c>
      <c r="K162" s="51">
        <v>172.44134400000002</v>
      </c>
      <c r="L162" s="51">
        <v>168.73292800000002</v>
      </c>
      <c r="M162" s="51">
        <v>172.44134400000002</v>
      </c>
      <c r="N162" s="51">
        <v>168.73292800000002</v>
      </c>
      <c r="O162" s="51">
        <v>172.44134400000002</v>
      </c>
    </row>
    <row r="163" spans="2:15">
      <c r="C163" t="s">
        <v>72</v>
      </c>
      <c r="D163" s="51">
        <f>1/(D118/D86)</f>
        <v>1161.398784</v>
      </c>
      <c r="E163" s="51">
        <f t="shared" si="40"/>
        <v>1186.9240320000001</v>
      </c>
      <c r="F163" s="51">
        <v>1161.398784</v>
      </c>
      <c r="G163" s="51">
        <v>1186.9240320000001</v>
      </c>
      <c r="H163" s="51">
        <v>1161.398784</v>
      </c>
      <c r="I163" s="51">
        <v>1186.9240320000001</v>
      </c>
      <c r="J163" s="51">
        <v>1161.398784</v>
      </c>
      <c r="K163" s="51">
        <v>1186.9240320000001</v>
      </c>
      <c r="L163" s="51">
        <v>1161.398784</v>
      </c>
      <c r="M163" s="51">
        <v>1186.9240320000001</v>
      </c>
      <c r="N163" s="51">
        <v>1161.398784</v>
      </c>
      <c r="O163" s="51">
        <v>1186.9240320000001</v>
      </c>
    </row>
    <row r="164" spans="2:15">
      <c r="B164" t="s">
        <v>79</v>
      </c>
      <c r="C164" t="s">
        <v>80</v>
      </c>
      <c r="D164" s="51">
        <f t="shared" si="39"/>
        <v>167.32352</v>
      </c>
      <c r="E164" s="51">
        <f t="shared" si="40"/>
        <v>171.00096000000002</v>
      </c>
      <c r="F164" s="51">
        <v>167.32352</v>
      </c>
      <c r="G164" s="51">
        <v>171.00096000000002</v>
      </c>
      <c r="H164" s="51">
        <v>167.32352</v>
      </c>
      <c r="I164" s="51">
        <v>171.00096000000002</v>
      </c>
      <c r="J164" s="51">
        <v>167.32352</v>
      </c>
      <c r="K164" s="51">
        <v>171.00096000000002</v>
      </c>
      <c r="L164" s="51">
        <v>167.32352</v>
      </c>
      <c r="M164" s="51">
        <v>171.00096000000002</v>
      </c>
      <c r="N164" s="51">
        <v>167.32352</v>
      </c>
      <c r="O164" s="51">
        <v>171.00096000000002</v>
      </c>
    </row>
    <row r="165" spans="2:15">
      <c r="B165" t="s">
        <v>89</v>
      </c>
      <c r="C165" t="s">
        <v>275</v>
      </c>
      <c r="D165" s="51">
        <f t="shared" si="39"/>
        <v>167.32352</v>
      </c>
      <c r="E165" s="51">
        <f t="shared" si="40"/>
        <v>171.00096000000002</v>
      </c>
      <c r="F165" s="51">
        <v>167.32352</v>
      </c>
      <c r="G165" s="51">
        <v>171.00096000000002</v>
      </c>
      <c r="H165" s="51">
        <v>167.32352</v>
      </c>
      <c r="I165" s="51">
        <v>171.00096000000002</v>
      </c>
      <c r="J165" s="51">
        <v>167.32352</v>
      </c>
      <c r="K165" s="51">
        <v>171.00096000000002</v>
      </c>
      <c r="L165" s="51">
        <v>167.32352</v>
      </c>
      <c r="M165" s="51">
        <v>171.00096000000002</v>
      </c>
      <c r="N165" s="51">
        <v>167.32352</v>
      </c>
      <c r="O165" s="51">
        <v>171.00096000000002</v>
      </c>
    </row>
    <row r="166" spans="2:15">
      <c r="C166" t="s">
        <v>276</v>
      </c>
      <c r="D166" s="51">
        <f t="shared" si="39"/>
        <v>167.32352</v>
      </c>
      <c r="E166" s="51">
        <f t="shared" si="40"/>
        <v>171.00096000000002</v>
      </c>
      <c r="F166" s="51">
        <v>167.32352</v>
      </c>
      <c r="G166" s="51">
        <v>171.00096000000002</v>
      </c>
      <c r="H166" s="51">
        <v>167.32352</v>
      </c>
      <c r="I166" s="51">
        <v>171.00096000000002</v>
      </c>
      <c r="J166" s="51">
        <v>167.32352</v>
      </c>
      <c r="K166" s="51">
        <v>171.00096000000002</v>
      </c>
      <c r="L166" s="51">
        <v>167.32352</v>
      </c>
      <c r="M166" s="51">
        <v>171.00096000000002</v>
      </c>
      <c r="N166" s="51">
        <v>167.32352</v>
      </c>
      <c r="O166" s="51">
        <v>171.00096000000002</v>
      </c>
    </row>
    <row r="167" spans="2:15">
      <c r="C167" t="s">
        <v>277</v>
      </c>
      <c r="D167" s="51">
        <f t="shared" si="39"/>
        <v>843.66463999999996</v>
      </c>
      <c r="E167" s="51">
        <f t="shared" si="40"/>
        <v>862.20672000000013</v>
      </c>
      <c r="F167" s="51">
        <v>843.66463999999996</v>
      </c>
      <c r="G167" s="51">
        <v>862.20672000000013</v>
      </c>
      <c r="H167" s="51">
        <v>843.66463999999996</v>
      </c>
      <c r="I167" s="51">
        <v>862.20672000000013</v>
      </c>
      <c r="J167" s="51">
        <v>843.66463999999996</v>
      </c>
      <c r="K167" s="51">
        <v>862.20672000000013</v>
      </c>
      <c r="L167" s="51">
        <v>843.66463999999996</v>
      </c>
      <c r="M167" s="51">
        <v>862.20672000000013</v>
      </c>
      <c r="N167" s="51">
        <v>843.66463999999996</v>
      </c>
      <c r="O167" s="51">
        <v>862.20672000000013</v>
      </c>
    </row>
    <row r="168" spans="2:15">
      <c r="B168" s="9" t="s">
        <v>75</v>
      </c>
      <c r="C168" s="9" t="s">
        <v>103</v>
      </c>
      <c r="D168" s="51">
        <f t="shared" si="39"/>
        <v>167.32352000000003</v>
      </c>
      <c r="E168" s="51">
        <f t="shared" si="40"/>
        <v>171.00096000000002</v>
      </c>
      <c r="F168" s="51">
        <v>167.32352000000003</v>
      </c>
      <c r="G168" s="51">
        <v>171.00096000000002</v>
      </c>
      <c r="H168" s="51">
        <v>167.32352000000003</v>
      </c>
      <c r="I168" s="51">
        <v>171.00096000000002</v>
      </c>
      <c r="J168" s="51">
        <v>167.32352000000003</v>
      </c>
      <c r="K168" s="51">
        <v>171.00096000000002</v>
      </c>
      <c r="L168" s="51">
        <v>167.32352000000003</v>
      </c>
      <c r="M168" s="51">
        <v>171.00096000000002</v>
      </c>
      <c r="N168" s="51">
        <v>167.32352000000003</v>
      </c>
      <c r="O168" s="51">
        <v>171.00096000000002</v>
      </c>
    </row>
    <row r="169" spans="2:15">
      <c r="C169" t="s">
        <v>109</v>
      </c>
      <c r="D169" s="51">
        <f t="shared" si="39"/>
        <v>1338.58816</v>
      </c>
      <c r="E169" s="51">
        <f t="shared" si="40"/>
        <v>1368.0076800000002</v>
      </c>
      <c r="F169" s="51">
        <v>1338.58816</v>
      </c>
      <c r="G169" s="51">
        <v>1368.0076800000002</v>
      </c>
      <c r="H169" s="51">
        <v>1338.58816</v>
      </c>
      <c r="I169" s="51">
        <v>1368.0076800000002</v>
      </c>
      <c r="J169" s="51">
        <v>1338.58816</v>
      </c>
      <c r="K169" s="51">
        <v>1368.0076800000002</v>
      </c>
      <c r="L169" s="51">
        <v>1338.58816</v>
      </c>
      <c r="M169" s="51">
        <v>1368.0076800000002</v>
      </c>
      <c r="N169" s="51">
        <v>1338.58816</v>
      </c>
      <c r="O169" s="51">
        <v>1368.0076800000002</v>
      </c>
    </row>
    <row r="170" spans="2:15">
      <c r="C170" t="s">
        <v>112</v>
      </c>
      <c r="D170" s="51">
        <f t="shared" si="39"/>
        <v>501.97056000000009</v>
      </c>
      <c r="E170" s="51">
        <f t="shared" si="40"/>
        <v>513.00288000000012</v>
      </c>
      <c r="F170" s="51">
        <v>501.97056000000009</v>
      </c>
      <c r="G170" s="51">
        <v>513.00288000000012</v>
      </c>
      <c r="H170" s="51">
        <v>501.97056000000009</v>
      </c>
      <c r="I170" s="51">
        <v>513.00288000000012</v>
      </c>
      <c r="J170" s="51">
        <v>501.97056000000009</v>
      </c>
      <c r="K170" s="51">
        <v>513.00288000000012</v>
      </c>
      <c r="L170" s="51">
        <v>501.97056000000009</v>
      </c>
      <c r="M170" s="51">
        <v>513.00288000000012</v>
      </c>
      <c r="N170" s="51">
        <v>501.97056000000009</v>
      </c>
      <c r="O170" s="51">
        <v>513.00288000000012</v>
      </c>
    </row>
    <row r="171" spans="2:15">
      <c r="D171" s="51"/>
    </row>
    <row r="175" spans="2:15">
      <c r="D175" t="s">
        <v>493</v>
      </c>
      <c r="E175" t="s">
        <v>378</v>
      </c>
      <c r="F175" t="s">
        <v>495</v>
      </c>
      <c r="G175" t="s">
        <v>380</v>
      </c>
    </row>
    <row r="176" spans="2:15">
      <c r="D176" t="s">
        <v>217</v>
      </c>
      <c r="E176" s="59">
        <f>D149</f>
        <v>1556.6149853152108</v>
      </c>
      <c r="F176" s="59">
        <f>AVERAGE(F150:F153)</f>
        <v>16251.873278236917</v>
      </c>
      <c r="G176" s="59">
        <f>D155</f>
        <v>15829.201101928375</v>
      </c>
    </row>
    <row r="177" spans="4:7">
      <c r="D177" t="s">
        <v>494</v>
      </c>
      <c r="E177" s="59">
        <f>H149</f>
        <v>463.84111647879763</v>
      </c>
      <c r="F177" s="59">
        <f>AVERAGE(J150:J153)</f>
        <v>4851.7022405121188</v>
      </c>
      <c r="G177" s="59">
        <f>H155</f>
        <v>3073.9917695473264</v>
      </c>
    </row>
    <row r="178" spans="4:7">
      <c r="D178" t="s">
        <v>307</v>
      </c>
      <c r="E178" s="58">
        <f>L149</f>
        <v>8.7801012789598492</v>
      </c>
      <c r="F178" s="59">
        <f>AVERAGE(N150:N153)</f>
        <v>88.249006545695593</v>
      </c>
      <c r="G178" s="59">
        <f>L155</f>
        <v>77.021717715727192</v>
      </c>
    </row>
  </sheetData>
  <mergeCells count="52">
    <mergeCell ref="N144:O144"/>
    <mergeCell ref="D144:E144"/>
    <mergeCell ref="H144:I144"/>
    <mergeCell ref="L144:M144"/>
    <mergeCell ref="F144:G144"/>
    <mergeCell ref="J144:K144"/>
    <mergeCell ref="N97:O97"/>
    <mergeCell ref="D113:E113"/>
    <mergeCell ref="F113:G113"/>
    <mergeCell ref="H113:I113"/>
    <mergeCell ref="J113:K113"/>
    <mergeCell ref="L113:M113"/>
    <mergeCell ref="N113:O113"/>
    <mergeCell ref="D97:E97"/>
    <mergeCell ref="F97:G97"/>
    <mergeCell ref="H97:I97"/>
    <mergeCell ref="J97:K97"/>
    <mergeCell ref="L97:M97"/>
    <mergeCell ref="J33:K33"/>
    <mergeCell ref="N65:O65"/>
    <mergeCell ref="D81:E81"/>
    <mergeCell ref="F81:G81"/>
    <mergeCell ref="H81:I81"/>
    <mergeCell ref="J81:K81"/>
    <mergeCell ref="L81:M81"/>
    <mergeCell ref="N81:O81"/>
    <mergeCell ref="D65:E65"/>
    <mergeCell ref="F65:G65"/>
    <mergeCell ref="H65:I65"/>
    <mergeCell ref="J65:K65"/>
    <mergeCell ref="L65:M65"/>
    <mergeCell ref="N129:O129"/>
    <mergeCell ref="D21:E21"/>
    <mergeCell ref="D4:I4"/>
    <mergeCell ref="I21:L21"/>
    <mergeCell ref="F21:H21"/>
    <mergeCell ref="L33:M33"/>
    <mergeCell ref="N33:O33"/>
    <mergeCell ref="D49:E49"/>
    <mergeCell ref="F49:G49"/>
    <mergeCell ref="H49:I49"/>
    <mergeCell ref="J49:K49"/>
    <mergeCell ref="L49:M49"/>
    <mergeCell ref="N49:O49"/>
    <mergeCell ref="D33:E33"/>
    <mergeCell ref="F33:G33"/>
    <mergeCell ref="H33:I33"/>
    <mergeCell ref="D129:E129"/>
    <mergeCell ref="F129:G129"/>
    <mergeCell ref="H129:I129"/>
    <mergeCell ref="J129:K129"/>
    <mergeCell ref="L129:M12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760D9-5649-40B1-9857-3FA76FE04AEC}">
  <dimension ref="B2:V154"/>
  <sheetViews>
    <sheetView zoomScale="90" zoomScaleNormal="90" workbookViewId="0">
      <selection activeCell="E17" sqref="E17"/>
    </sheetView>
  </sheetViews>
  <sheetFormatPr defaultRowHeight="14.4"/>
  <cols>
    <col min="2" max="2" width="24.21875" bestFit="1" customWidth="1"/>
    <col min="3" max="3" width="21.44140625" customWidth="1"/>
    <col min="4" max="4" width="16.77734375" bestFit="1" customWidth="1"/>
    <col min="5" max="9" width="16.77734375" customWidth="1"/>
    <col min="10" max="10" width="10.44140625" customWidth="1"/>
    <col min="11" max="11" width="12.21875" customWidth="1"/>
    <col min="12" max="12" width="13.44140625" customWidth="1"/>
    <col min="13" max="13" width="14.44140625" customWidth="1"/>
    <col min="14" max="15" width="12.5546875" customWidth="1"/>
    <col min="16" max="16" width="10" customWidth="1"/>
    <col min="17" max="17" width="11.5546875" customWidth="1"/>
    <col min="18" max="18" width="20.5546875" customWidth="1"/>
  </cols>
  <sheetData>
    <row r="2" spans="2:22" ht="17.399999999999999">
      <c r="B2" s="8" t="s">
        <v>503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2:22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2:22">
      <c r="B4" s="24" t="s">
        <v>23</v>
      </c>
      <c r="C4" s="24"/>
      <c r="D4" s="98" t="s">
        <v>162</v>
      </c>
      <c r="E4" s="98"/>
      <c r="F4" s="98"/>
      <c r="G4" s="98"/>
      <c r="H4" s="98"/>
      <c r="I4" s="98"/>
      <c r="S4" s="9"/>
      <c r="T4" s="9"/>
      <c r="U4" s="9"/>
      <c r="V4" s="9"/>
    </row>
    <row r="5" spans="2:22" ht="28.8" customHeight="1">
      <c r="C5" s="10"/>
      <c r="D5" s="25" t="s">
        <v>265</v>
      </c>
      <c r="E5" s="25" t="s">
        <v>266</v>
      </c>
      <c r="F5" s="25" t="s">
        <v>267</v>
      </c>
      <c r="G5" s="25" t="s">
        <v>268</v>
      </c>
      <c r="H5" s="25" t="s">
        <v>269</v>
      </c>
      <c r="I5" s="25" t="s">
        <v>270</v>
      </c>
      <c r="S5" s="9"/>
      <c r="T5" s="9"/>
      <c r="U5" s="9"/>
      <c r="V5" s="9"/>
    </row>
    <row r="6" spans="2:22">
      <c r="B6" s="9" t="s">
        <v>166</v>
      </c>
      <c r="C6" s="9" t="s">
        <v>271</v>
      </c>
      <c r="D6" s="16">
        <f>SUM(Scenarios!AF3:AF10)</f>
        <v>326.03999999999996</v>
      </c>
      <c r="E6" s="16">
        <f>SUM(Scenarios!AG3:AG10)</f>
        <v>269.5</v>
      </c>
      <c r="F6" s="16">
        <f>SUM(Scenarios!AH3:AH10)</f>
        <v>20.32</v>
      </c>
      <c r="G6" s="16">
        <f>SUM(Scenarios!AI3:AI10)</f>
        <v>16.480000000000004</v>
      </c>
      <c r="H6" s="16">
        <f>SUM(Scenarios!AJ3:AJ10)</f>
        <v>64.16</v>
      </c>
      <c r="I6" s="16">
        <f>SUM(Scenarios!AK3:AK10)</f>
        <v>53.20000000000001</v>
      </c>
      <c r="J6" s="14"/>
      <c r="K6" s="14"/>
      <c r="L6" s="14"/>
      <c r="M6" s="14"/>
      <c r="N6" s="14"/>
      <c r="O6" s="9"/>
      <c r="Q6" s="13"/>
      <c r="R6" s="9"/>
      <c r="S6" s="9"/>
      <c r="T6" s="9"/>
      <c r="U6" s="9"/>
      <c r="V6" s="9"/>
    </row>
    <row r="7" spans="2:22">
      <c r="C7" t="s">
        <v>272</v>
      </c>
      <c r="D7" s="34">
        <f>SUM(Scenarios!AF11:AF20)</f>
        <v>1876.38</v>
      </c>
      <c r="E7" s="34">
        <f>SUM(Scenarios!AG11:AG20)</f>
        <v>520.74</v>
      </c>
      <c r="F7" s="34">
        <f>SUM(Scenarios!AH11:AH20)</f>
        <v>84.6</v>
      </c>
      <c r="G7" s="34">
        <f>SUM(Scenarios!AI11:AI20)</f>
        <v>23.36</v>
      </c>
      <c r="H7" s="34">
        <f>SUM(Scenarios!AJ11:AJ20)</f>
        <v>332.32</v>
      </c>
      <c r="I7" s="34">
        <f>SUM(Scenarios!AK11:AK20)</f>
        <v>92.72</v>
      </c>
      <c r="K7" t="s">
        <v>273</v>
      </c>
      <c r="O7" s="9"/>
      <c r="P7" s="9"/>
      <c r="Q7" s="11"/>
      <c r="R7" s="9"/>
      <c r="S7" s="9"/>
      <c r="T7" s="9"/>
      <c r="U7" s="9"/>
      <c r="V7" s="9"/>
    </row>
    <row r="8" spans="2:22">
      <c r="C8" t="s">
        <v>274</v>
      </c>
      <c r="D8" s="16">
        <f>SUM(Scenarios!AF21:AF22)</f>
        <v>112.64000000000001</v>
      </c>
      <c r="E8" s="16">
        <f>SUM(Scenarios!AG21:AG22)</f>
        <v>28.160000000000004</v>
      </c>
      <c r="F8" s="16">
        <f>SUM(Scenarios!AH21:AH22)</f>
        <v>5.120000000000001</v>
      </c>
      <c r="G8" s="16">
        <f>SUM(Scenarios!AI21:AI22)</f>
        <v>1.2800000000000002</v>
      </c>
      <c r="H8" s="16">
        <f>SUM(Scenarios!AJ21:AJ22)</f>
        <v>20.480000000000004</v>
      </c>
      <c r="I8" s="16">
        <f>SUM(Scenarios!AK21:AK22)</f>
        <v>5.120000000000001</v>
      </c>
      <c r="Q8" s="9"/>
      <c r="R8" s="9"/>
      <c r="S8" s="9"/>
      <c r="T8" s="9"/>
      <c r="U8" s="9"/>
      <c r="V8" s="9"/>
    </row>
    <row r="9" spans="2:22">
      <c r="C9" t="s">
        <v>72</v>
      </c>
      <c r="D9" s="16">
        <f>SUM(Scenarios!AF23:AF28)</f>
        <v>186.34</v>
      </c>
      <c r="E9" s="16">
        <f>SUM(Scenarios!AG23:AG28)</f>
        <v>142.77999999999997</v>
      </c>
      <c r="F9" s="16">
        <f>SUM(Scenarios!AH23:AH28)</f>
        <v>7.36</v>
      </c>
      <c r="G9" s="16">
        <f>SUM(Scenarios!AI23:AI28)</f>
        <v>5.1199999999999992</v>
      </c>
      <c r="H9" s="16">
        <f>SUM(Scenarios!AJ23:AJ28)</f>
        <v>32.880000000000003</v>
      </c>
      <c r="I9" s="16">
        <f>SUM(Scenarios!AK23:AK28)</f>
        <v>25.439999999999998</v>
      </c>
      <c r="R9" s="12"/>
      <c r="S9" s="9"/>
      <c r="T9" s="9"/>
      <c r="U9" s="9"/>
      <c r="V9" s="9"/>
    </row>
    <row r="10" spans="2:22">
      <c r="B10" t="s">
        <v>79</v>
      </c>
      <c r="C10" t="s">
        <v>80</v>
      </c>
      <c r="D10" s="16">
        <f>SUM(Scenarios!AF29:AF34)</f>
        <v>11.220000000000002</v>
      </c>
      <c r="E10" s="16">
        <f>SUM(Scenarios!AG29:AG34)</f>
        <v>5.72</v>
      </c>
      <c r="F10" s="16">
        <f>SUM(Scenarios!AH29:AH34)</f>
        <v>0.76000000000000012</v>
      </c>
      <c r="G10" s="16">
        <f>SUM(Scenarios!AI29:AI34)</f>
        <v>0.36</v>
      </c>
      <c r="H10" s="16">
        <f>SUM(Scenarios!AJ29:AJ34)</f>
        <v>2.3200000000000003</v>
      </c>
      <c r="I10" s="16">
        <f>SUM(Scenarios!AK29:AK34)</f>
        <v>1.1199999999999999</v>
      </c>
      <c r="R10" s="12"/>
      <c r="S10" s="9"/>
      <c r="T10" s="9"/>
      <c r="U10" s="9"/>
      <c r="V10" s="9"/>
    </row>
    <row r="11" spans="2:22">
      <c r="B11" t="s">
        <v>89</v>
      </c>
      <c r="C11" t="s">
        <v>275</v>
      </c>
      <c r="D11" s="16">
        <f>SUM(Scenarios!AF35:AF38)</f>
        <v>10.560000000000002</v>
      </c>
      <c r="E11" s="16">
        <f>SUM(Scenarios!AG35:AG38)</f>
        <v>5.2799999999999994</v>
      </c>
      <c r="F11" s="16">
        <f>SUM(Scenarios!AH35:AH38)</f>
        <v>0.48000000000000009</v>
      </c>
      <c r="G11" s="16">
        <f>SUM(Scenarios!AI35:AI38)</f>
        <v>0.24</v>
      </c>
      <c r="H11" s="16">
        <f>SUM(Scenarios!AJ35:AJ38)</f>
        <v>1.9200000000000004</v>
      </c>
      <c r="I11" s="16">
        <f>SUM(Scenarios!AK35:AK38)</f>
        <v>0.96</v>
      </c>
      <c r="R11" s="12"/>
      <c r="S11" s="9"/>
      <c r="T11" s="9"/>
      <c r="U11" s="9"/>
      <c r="V11" s="9"/>
    </row>
    <row r="12" spans="2:22">
      <c r="C12" t="s">
        <v>276</v>
      </c>
      <c r="D12" s="16">
        <f>SUM(Scenarios!AF39:AF40)</f>
        <v>52.8</v>
      </c>
      <c r="E12" s="16">
        <f>SUM(Scenarios!AG39:AG40)</f>
        <v>22</v>
      </c>
      <c r="F12" s="16">
        <f>SUM(Scenarios!AH39:AH40)</f>
        <v>2.4</v>
      </c>
      <c r="G12" s="16">
        <f>SUM(Scenarios!AI39:AI40)</f>
        <v>1</v>
      </c>
      <c r="H12" s="16">
        <f>SUM(Scenarios!AJ39:AJ40)</f>
        <v>9.6</v>
      </c>
      <c r="I12" s="16">
        <f>SUM(Scenarios!AK39:AK40)</f>
        <v>4</v>
      </c>
      <c r="R12" s="12"/>
      <c r="S12" s="9"/>
      <c r="T12" s="9"/>
      <c r="U12" s="9"/>
      <c r="V12" s="9"/>
    </row>
    <row r="13" spans="2:22">
      <c r="C13" t="s">
        <v>277</v>
      </c>
      <c r="D13" s="16">
        <f>SUM(Scenarios!AF41:AF46)</f>
        <v>8.3600000000000012</v>
      </c>
      <c r="E13" s="16">
        <f>SUM(Scenarios!AG41:AG46)</f>
        <v>4.3999999999999995</v>
      </c>
      <c r="F13" s="16">
        <f>SUM(Scenarios!AH41:AH46)</f>
        <v>0.39999999999999997</v>
      </c>
      <c r="G13" s="16">
        <f>SUM(Scenarios!AI41:AI46)</f>
        <v>0.15999999999999998</v>
      </c>
      <c r="H13" s="16">
        <f>SUM(Scenarios!AJ41:AJ46)</f>
        <v>1.52</v>
      </c>
      <c r="I13" s="16">
        <f>SUM(Scenarios!AK41:AK46)</f>
        <v>0.79999999999999993</v>
      </c>
      <c r="R13" s="12"/>
      <c r="S13" s="9"/>
      <c r="T13" s="9"/>
      <c r="U13" s="9"/>
      <c r="V13" s="9"/>
    </row>
    <row r="14" spans="2:22">
      <c r="B14" s="9" t="s">
        <v>75</v>
      </c>
      <c r="C14" s="9" t="s">
        <v>103</v>
      </c>
      <c r="D14" s="16">
        <f>SUM(Scenarios!AF47:AF48)</f>
        <v>0.43999999999999995</v>
      </c>
      <c r="E14" s="16"/>
      <c r="F14" s="16">
        <f>SUM(Scenarios!AH47:AH48)</f>
        <v>3.1999999999999994E-2</v>
      </c>
      <c r="G14" s="16"/>
      <c r="H14" s="16">
        <f>SUM(Scenarios!AJ47:AJ48)</f>
        <v>9.5999999999999988E-2</v>
      </c>
      <c r="I14" s="16"/>
      <c r="J14" s="14"/>
      <c r="K14" s="14"/>
      <c r="L14" s="14"/>
      <c r="M14" s="14"/>
      <c r="N14" s="14"/>
      <c r="R14" s="12"/>
      <c r="S14" s="9"/>
      <c r="T14" s="9"/>
      <c r="U14" s="9"/>
      <c r="V14" s="9"/>
    </row>
    <row r="15" spans="2:22">
      <c r="C15" t="s">
        <v>109</v>
      </c>
      <c r="D15" s="16">
        <f>SUM(Scenarios!AF49:AF51)</f>
        <v>21.12</v>
      </c>
      <c r="E15" s="16"/>
      <c r="F15" s="16">
        <f>SUM(Scenarios!AH49:AH51)</f>
        <v>1.2799999999999998</v>
      </c>
      <c r="G15" s="16"/>
      <c r="H15" s="16">
        <f>SUM(Scenarios!AJ49:AJ51)</f>
        <v>4.3199999999999994</v>
      </c>
      <c r="I15" s="16"/>
      <c r="R15" s="9"/>
      <c r="U15" s="9"/>
      <c r="V15" s="9"/>
    </row>
    <row r="16" spans="2:22">
      <c r="C16" t="s">
        <v>112</v>
      </c>
      <c r="D16" s="16">
        <f>SUM(Scenarios!AF52:AF52)</f>
        <v>4.9499999999999993</v>
      </c>
      <c r="E16" s="16"/>
      <c r="F16" s="16">
        <f>SUM(Scenarios!AH52:AH52)</f>
        <v>0.29999999999999993</v>
      </c>
      <c r="G16" s="16"/>
      <c r="H16" s="16">
        <f>SUM(Scenarios!AJ52:AJ52)</f>
        <v>1.1999999999999997</v>
      </c>
      <c r="I16" s="16"/>
      <c r="Q16" s="9"/>
      <c r="R16" s="9"/>
      <c r="S16" s="5"/>
      <c r="T16" s="9"/>
      <c r="U16" s="9"/>
      <c r="V16" s="9"/>
    </row>
    <row r="17" spans="2:22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5"/>
      <c r="T17" s="9"/>
      <c r="U17" s="9"/>
      <c r="V17" s="9"/>
    </row>
    <row r="18" spans="2:22"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5"/>
      <c r="T18" s="9"/>
      <c r="U18" s="9"/>
      <c r="V18" s="9"/>
    </row>
    <row r="19" spans="2:22"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</row>
    <row r="20" spans="2:22"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5"/>
      <c r="T20" s="9"/>
      <c r="U20" s="9"/>
      <c r="V20" s="9"/>
    </row>
    <row r="21" spans="2:22">
      <c r="B21" s="24" t="s">
        <v>278</v>
      </c>
      <c r="C21" s="9"/>
      <c r="D21" s="97" t="s">
        <v>163</v>
      </c>
      <c r="E21" s="97"/>
      <c r="F21" s="100" t="s">
        <v>164</v>
      </c>
      <c r="G21" s="100"/>
      <c r="H21" s="100"/>
      <c r="I21" s="99" t="s">
        <v>279</v>
      </c>
      <c r="J21" s="99"/>
      <c r="K21" s="99"/>
      <c r="L21" s="99"/>
      <c r="M21" s="9" t="s">
        <v>280</v>
      </c>
      <c r="N21" s="9" t="s">
        <v>281</v>
      </c>
      <c r="O21" s="9"/>
      <c r="P21" s="9"/>
      <c r="Q21" s="9"/>
      <c r="R21" s="9"/>
      <c r="T21" s="9"/>
      <c r="U21" s="9"/>
      <c r="V21" s="9"/>
    </row>
    <row r="22" spans="2:22" ht="28.8">
      <c r="D22" s="10" t="s">
        <v>282</v>
      </c>
      <c r="E22" s="10" t="s">
        <v>283</v>
      </c>
      <c r="F22" t="s">
        <v>284</v>
      </c>
      <c r="G22" s="10" t="s">
        <v>282</v>
      </c>
      <c r="H22" s="10" t="s">
        <v>283</v>
      </c>
      <c r="I22" s="4" t="s">
        <v>285</v>
      </c>
      <c r="J22" s="33" t="s">
        <v>286</v>
      </c>
      <c r="K22" s="12" t="s">
        <v>287</v>
      </c>
      <c r="L22" s="12" t="s">
        <v>288</v>
      </c>
    </row>
    <row r="23" spans="2:22">
      <c r="B23" t="s">
        <v>289</v>
      </c>
      <c r="C23" t="s">
        <v>290</v>
      </c>
      <c r="D23" s="16">
        <f>(hosp_normal_winter_overall*Cost_of_hospitalisation_CH_normalwinter)</f>
        <v>30.877205887469302</v>
      </c>
      <c r="E23" s="16">
        <f>(hosp_normal_winter_overall*Cost_of_hospitalisation_GER_normalwinter)</f>
        <v>10.563000000000001</v>
      </c>
      <c r="F23" s="16">
        <f>(Sick_days_per_infection_normalwinter+hosp_normal_winter_overall*Sick_days_per_hospitalisation_normalwinter)</f>
        <v>3.0510000000000002</v>
      </c>
      <c r="G23" s="16">
        <f>Loss_of_productivity_per_sick_day_CH*F23</f>
        <v>1098.3600000000001</v>
      </c>
      <c r="H23" s="16">
        <f>Loss_of_productivity_per_sick_day_GER*F23</f>
        <v>378.32400000000001</v>
      </c>
      <c r="I23" s="31">
        <f>((1-hosp_normal_winter_overall)*Losses_of_QALYs_normalwinter+hosp_normal_winter_overall*Losses_of_QALYs_hosp_normalwinter)</f>
        <v>3.8240000000000001E-3</v>
      </c>
      <c r="J23" s="32">
        <f>(I23+Mortality_overall_per_infection_winter*QALYs_lost_per_death_normalwinter)</f>
        <v>4.0039999999999997E-3</v>
      </c>
      <c r="K23" s="30">
        <f>J23*QALY_CHF</f>
        <v>700.69999999999993</v>
      </c>
      <c r="L23" s="30">
        <f>J23*QALY_eur</f>
        <v>320.32</v>
      </c>
      <c r="M23" s="37">
        <f t="shared" ref="M23:N27" si="0">K23+G23+D23</f>
        <v>1829.9372058874692</v>
      </c>
      <c r="N23" s="37">
        <f t="shared" si="0"/>
        <v>709.20699999999999</v>
      </c>
      <c r="R23" s="9"/>
    </row>
    <row r="24" spans="2:22">
      <c r="C24" t="s">
        <v>291</v>
      </c>
      <c r="F24" s="14"/>
      <c r="G24" s="16">
        <f>Loss_of_productivity_per_sick_day_CH*F24</f>
        <v>0</v>
      </c>
      <c r="H24" s="16">
        <f>Loss_of_productivity_per_sick_day_GER*F24</f>
        <v>0</v>
      </c>
      <c r="I24" s="31"/>
      <c r="J24" s="16"/>
      <c r="K24" s="30">
        <f>J24*QALY_CHF</f>
        <v>0</v>
      </c>
      <c r="L24" s="30">
        <f>J24*QALY_eur</f>
        <v>0</v>
      </c>
      <c r="M24" s="37">
        <f t="shared" si="0"/>
        <v>0</v>
      </c>
      <c r="N24" s="37">
        <f t="shared" si="0"/>
        <v>0</v>
      </c>
      <c r="R24" s="9"/>
    </row>
    <row r="25" spans="2:22">
      <c r="B25" t="s">
        <v>292</v>
      </c>
      <c r="C25" t="s">
        <v>290</v>
      </c>
      <c r="D25" s="16">
        <f>(Hospitalisation_rate_overall_covid*Cost_of_hospitalisation_CH+Long_Covid*Cost_of_disability_case_for_healthcare_CH)</f>
        <v>3875</v>
      </c>
      <c r="E25" s="16">
        <f>(cost_hosp_GER_covid*Hospitalisation_rate_overall_covid+Long_Covid*Cost_of_disability_case_for_healthcare_GER)</f>
        <v>1370</v>
      </c>
      <c r="F25" s="16">
        <f>((symptomatic_Covid_case*Sick_days_per_Covid_infection+Hospitalisation_rate_overall_covid*Sick_days_per_Covid_hospitalisation)*(1-Long_Covid)+Long_Covid*Sick_days_per_Long_Covid_case)</f>
        <v>13.125</v>
      </c>
      <c r="G25" s="16">
        <f>Loss_of_productivity_per_sick_day_CH*F25</f>
        <v>4725</v>
      </c>
      <c r="H25" s="16">
        <f>Loss_of_productivity_per_sick_day_GER*F25</f>
        <v>1627.5</v>
      </c>
      <c r="I25" s="31">
        <f>((1-Hospitalisation_rate_overall_covid-Long_Covid)*symptomatic_Covid_case*Losses_of_QALYs_Covid_case+Hospitalisation_rate_overall_covid*Losses_of_QALYs_Covid_hospitalisation+Long_Covid*Losses_of_QALYs_long_Covid)</f>
        <v>1.0200000000000001E-2</v>
      </c>
      <c r="J25" s="32">
        <f>(I25+symptomatic_Covid_case*Mortality_Covid_overall*QUALYs_lost_per_death_covid)</f>
        <v>0.34019999999999995</v>
      </c>
      <c r="K25" s="30">
        <f>J25*QALY_CHF</f>
        <v>59534.999999999993</v>
      </c>
      <c r="L25" s="30">
        <f>J25*QALY_eur</f>
        <v>27215.999999999996</v>
      </c>
      <c r="M25" s="37">
        <f t="shared" si="0"/>
        <v>68135</v>
      </c>
      <c r="N25" s="37">
        <f t="shared" si="0"/>
        <v>30213.499999999996</v>
      </c>
      <c r="R25" s="9"/>
    </row>
    <row r="26" spans="2:22">
      <c r="C26" t="s">
        <v>291</v>
      </c>
      <c r="D26" s="16">
        <f>(Hospitalisation_rate_18_59y_covid*Cost_of_hospitalisation_CH+Long_Covid*Cost_of_disability_case_for_healthcare_CH)</f>
        <v>1848.25</v>
      </c>
      <c r="E26" s="16">
        <f>(cost_hosp_GER_covid*Hospitalisation_rate_18_59y_covid+Long_Covid*Cost_of_disability_case_for_healthcare_GER)</f>
        <v>653.1</v>
      </c>
      <c r="F26" s="16">
        <f>((symptomatic_Covid_case*Sick_days_per_Covid_infection+Hospitalisation_rate_18_59y_covid*Sick_days_per_Covid_hospitalisation)*(1-Long_Covid)+Long_Covid*Sick_days_per_Long_Covid_case)</f>
        <v>12.220500000000001</v>
      </c>
      <c r="G26" s="16">
        <f>Loss_of_productivity_per_sick_day_CH*F26</f>
        <v>4399.38</v>
      </c>
      <c r="H26" s="16">
        <f>Loss_of_productivity_per_sick_day_GER*F26</f>
        <v>1515.3420000000001</v>
      </c>
      <c r="I26" s="31">
        <f>((1-Hospitalisation_rate_18_59y_covid-Long_Covid)*symptomatic_Covid_case*Losses_of_QALYs_Covid_case+Hospitalisation_rate_18_59y_covid*Losses_of_QALYs_Covid_hospitalisation+Long_Covid*Losses_of_QALYs_long_Covid)</f>
        <v>9.2619999999999994E-3</v>
      </c>
      <c r="J26" s="32"/>
      <c r="K26" s="30">
        <f>J26*QALY_CHF</f>
        <v>0</v>
      </c>
      <c r="L26" s="30">
        <f>J26*QALY_eur</f>
        <v>0</v>
      </c>
      <c r="M26" s="37">
        <f t="shared" si="0"/>
        <v>6247.63</v>
      </c>
      <c r="N26" s="37">
        <f t="shared" si="0"/>
        <v>2168.442</v>
      </c>
      <c r="R26" s="9"/>
    </row>
    <row r="27" spans="2:22">
      <c r="B27" t="s">
        <v>293</v>
      </c>
      <c r="C27" t="s">
        <v>290</v>
      </c>
      <c r="D27" s="16">
        <f>(Hospitalisation_rate_overall_severe*Cost_of_hospitalisation_CH+disability_induced_severe*Cost_of_disability_case_for_healthcare_CH)</f>
        <v>9925</v>
      </c>
      <c r="E27" s="16">
        <f>(Hospitalisation_rate_overall_severe*Cost_of_hospitalisation_GER_normalwinter+disability_induced_severe*Cost_of_disability_case_for_healthcare_GER)</f>
        <v>1356.3</v>
      </c>
      <c r="F27" s="16">
        <f>(Sick_days_per_infection_severe+Hospitalisation_rate_overall_severe*Sick_days_per_infection___hospitalisation_severe+disability_induced_severe*Sick_days_per_case_of_disability)</f>
        <v>26</v>
      </c>
      <c r="G27" s="16">
        <f>Loss_of_productivity_per_sick_day_CH*F27</f>
        <v>9360</v>
      </c>
      <c r="H27" s="16">
        <f>Loss_of_productivity_per_sick_day_GER*F27</f>
        <v>3224</v>
      </c>
      <c r="I27" s="31">
        <f>((1-Hospitalisation_rate_overall_severe-disability_induced_severe)*Losses_of_QALYs_infection_severe+Hospitalisation_rate_overall_severe*Losses_of_QALYs_hosp_severe+disability_induced_severe*Losses_of_QALYs_long_Covid)</f>
        <v>2.1400000000000002E-2</v>
      </c>
      <c r="J27" s="32">
        <f>(I27+Mortality_overall_severe*QALYs_lost_per_death_severe)</f>
        <v>4.0213999999999999</v>
      </c>
      <c r="K27" s="30">
        <f>J27*QALY_CHF</f>
        <v>703745</v>
      </c>
      <c r="L27" s="30">
        <f>J27*QALY_eur</f>
        <v>321712</v>
      </c>
      <c r="M27" s="37">
        <f t="shared" si="0"/>
        <v>723030</v>
      </c>
      <c r="N27" s="38">
        <f t="shared" si="0"/>
        <v>326292.3</v>
      </c>
      <c r="R27" s="9"/>
    </row>
    <row r="28" spans="2:22">
      <c r="C28" t="s">
        <v>291</v>
      </c>
      <c r="R28" s="9"/>
    </row>
    <row r="32" spans="2:22">
      <c r="B32" s="24" t="s">
        <v>294</v>
      </c>
      <c r="C32" t="s">
        <v>295</v>
      </c>
    </row>
    <row r="33" spans="2:15" ht="32.549999999999997" customHeight="1">
      <c r="C33" t="s">
        <v>290</v>
      </c>
      <c r="D33" s="95" t="s">
        <v>265</v>
      </c>
      <c r="E33" s="95"/>
      <c r="F33" s="95" t="s">
        <v>266</v>
      </c>
      <c r="G33" s="95"/>
      <c r="H33" s="95" t="s">
        <v>267</v>
      </c>
      <c r="I33" s="95"/>
      <c r="J33" s="95" t="s">
        <v>268</v>
      </c>
      <c r="K33" s="95"/>
      <c r="L33" s="95" t="s">
        <v>296</v>
      </c>
      <c r="M33" s="95"/>
      <c r="N33" s="95" t="s">
        <v>270</v>
      </c>
      <c r="O33" s="95"/>
    </row>
    <row r="34" spans="2:15" ht="19.8" customHeight="1">
      <c r="B34" s="35" t="s">
        <v>163</v>
      </c>
      <c r="D34" s="10" t="s">
        <v>282</v>
      </c>
      <c r="E34" s="10" t="s">
        <v>283</v>
      </c>
      <c r="F34" s="10" t="s">
        <v>282</v>
      </c>
      <c r="G34" s="10" t="s">
        <v>283</v>
      </c>
      <c r="H34" s="10" t="s">
        <v>282</v>
      </c>
      <c r="I34" s="10" t="s">
        <v>283</v>
      </c>
      <c r="J34" s="10" t="s">
        <v>282</v>
      </c>
      <c r="K34" s="10" t="s">
        <v>283</v>
      </c>
      <c r="L34" s="10" t="s">
        <v>282</v>
      </c>
      <c r="M34" s="10" t="s">
        <v>283</v>
      </c>
      <c r="N34" s="10" t="s">
        <v>282</v>
      </c>
      <c r="O34" s="10" t="s">
        <v>283</v>
      </c>
    </row>
    <row r="35" spans="2:15">
      <c r="B35" s="9" t="s">
        <v>166</v>
      </c>
      <c r="C35" s="9" t="s">
        <v>271</v>
      </c>
      <c r="D35" s="36">
        <f>D23*D6</f>
        <v>10067.204207550491</v>
      </c>
      <c r="E35" s="36">
        <f>E23*D6</f>
        <v>3443.9605199999996</v>
      </c>
      <c r="F35" s="68">
        <f>D23*E6</f>
        <v>8321.4069866729769</v>
      </c>
      <c r="G35" s="68">
        <f>E23*E6</f>
        <v>2846.7285000000002</v>
      </c>
      <c r="H35" s="36">
        <f>D25*F6</f>
        <v>78740</v>
      </c>
      <c r="I35" s="36">
        <f>E25*F6</f>
        <v>27838.400000000001</v>
      </c>
      <c r="J35" s="68">
        <f>D25*G6</f>
        <v>63860.000000000015</v>
      </c>
      <c r="K35" s="68">
        <f>E25*G6</f>
        <v>22577.600000000006</v>
      </c>
      <c r="L35" s="36">
        <f>D27*H6</f>
        <v>636788</v>
      </c>
      <c r="M35" s="36">
        <f>E27*H6</f>
        <v>87020.207999999999</v>
      </c>
      <c r="N35" s="68">
        <f>D27*I6</f>
        <v>528010.00000000012</v>
      </c>
      <c r="O35" s="68">
        <f>E27*I6</f>
        <v>72155.160000000018</v>
      </c>
    </row>
    <row r="36" spans="2:15">
      <c r="C36" t="s">
        <v>272</v>
      </c>
      <c r="D36" s="68">
        <f>D23*D7</f>
        <v>57937.37158312965</v>
      </c>
      <c r="E36" s="68">
        <f>E23*D7</f>
        <v>19820.201940000003</v>
      </c>
      <c r="F36" s="36">
        <f>D23*E7</f>
        <v>16078.996193840765</v>
      </c>
      <c r="G36" s="36">
        <f>E23*E7</f>
        <v>5500.5766200000007</v>
      </c>
      <c r="H36" s="68">
        <f>D25*F7</f>
        <v>327825</v>
      </c>
      <c r="I36" s="68">
        <f>E25*F7</f>
        <v>115901.99999999999</v>
      </c>
      <c r="J36" s="36">
        <f>D25*G7</f>
        <v>90520</v>
      </c>
      <c r="K36" s="36">
        <f>E25*G7</f>
        <v>32003.200000000001</v>
      </c>
      <c r="L36" s="68">
        <f>D27*H7</f>
        <v>3298276</v>
      </c>
      <c r="M36" s="68">
        <f>E27*H7</f>
        <v>450725.61599999998</v>
      </c>
      <c r="N36" s="36">
        <f>D27*I7</f>
        <v>920246</v>
      </c>
      <c r="O36" s="36">
        <f>E27*I7</f>
        <v>125756.136</v>
      </c>
    </row>
    <row r="37" spans="2:15">
      <c r="C37" t="s">
        <v>274</v>
      </c>
      <c r="D37" s="68">
        <f>D23*D8</f>
        <v>3478.0084711645427</v>
      </c>
      <c r="E37" s="68">
        <f>E23*D8</f>
        <v>1189.8163200000001</v>
      </c>
      <c r="F37" s="36">
        <f>D23*E8</f>
        <v>869.50211779113567</v>
      </c>
      <c r="G37" s="36">
        <f>E23*E8</f>
        <v>297.45408000000003</v>
      </c>
      <c r="H37" s="68">
        <f>D25*F8</f>
        <v>19840.000000000004</v>
      </c>
      <c r="I37" s="68">
        <f>D8*F25</f>
        <v>1478.4</v>
      </c>
      <c r="J37" s="36">
        <f>D25*G8</f>
        <v>4960.0000000000009</v>
      </c>
      <c r="K37" s="36">
        <f>E25*G8</f>
        <v>1753.6000000000004</v>
      </c>
      <c r="L37" s="68">
        <f>D27*H8</f>
        <v>203264.00000000003</v>
      </c>
      <c r="M37" s="68">
        <f>E27*H8</f>
        <v>27777.024000000005</v>
      </c>
      <c r="N37" s="36">
        <f>D27*I8</f>
        <v>50816.000000000007</v>
      </c>
      <c r="O37" s="36">
        <f>E27*I8</f>
        <v>6944.2560000000012</v>
      </c>
    </row>
    <row r="38" spans="2:15">
      <c r="C38" t="s">
        <v>72</v>
      </c>
      <c r="D38" s="36">
        <f>D23*D9</f>
        <v>5753.6585450710299</v>
      </c>
      <c r="E38" s="36">
        <f>E23*D9</f>
        <v>1968.30942</v>
      </c>
      <c r="F38" s="68">
        <f>D23*E9</f>
        <v>4408.6474566128663</v>
      </c>
      <c r="G38" s="68">
        <f>E23*E9</f>
        <v>1508.1851399999998</v>
      </c>
      <c r="H38" s="36">
        <f>D25*F9</f>
        <v>28520</v>
      </c>
      <c r="I38" s="36">
        <f>E25*F9</f>
        <v>10083.200000000001</v>
      </c>
      <c r="J38" s="68">
        <f>D25*G9</f>
        <v>19839.999999999996</v>
      </c>
      <c r="K38" s="68">
        <f>E25*G9</f>
        <v>7014.3999999999987</v>
      </c>
      <c r="L38" s="36">
        <f>D27*H9</f>
        <v>326334</v>
      </c>
      <c r="M38" s="36">
        <f>E27*H9</f>
        <v>44595.144</v>
      </c>
      <c r="N38" s="68">
        <f>D27*I9</f>
        <v>252491.99999999997</v>
      </c>
      <c r="O38" s="68">
        <f>E27*I9</f>
        <v>34504.271999999997</v>
      </c>
    </row>
    <row r="39" spans="2:15">
      <c r="B39" t="s">
        <v>79</v>
      </c>
      <c r="C39" t="s">
        <v>80</v>
      </c>
      <c r="D39" s="68">
        <f>D23*D10</f>
        <v>346.44225005740566</v>
      </c>
      <c r="E39" s="68">
        <f>E23*D10</f>
        <v>118.51686000000004</v>
      </c>
      <c r="F39" s="36">
        <f>D23*E10</f>
        <v>176.61761767632439</v>
      </c>
      <c r="G39" s="36">
        <f>E23*E10</f>
        <v>60.420360000000002</v>
      </c>
      <c r="H39" s="68">
        <f>D25*F10</f>
        <v>2945.0000000000005</v>
      </c>
      <c r="I39" s="68">
        <f>E25*F10</f>
        <v>1041.2000000000003</v>
      </c>
      <c r="J39" s="36">
        <f>D25*G10</f>
        <v>1395</v>
      </c>
      <c r="K39" s="36">
        <f>E25*G10</f>
        <v>493.2</v>
      </c>
      <c r="L39" s="68">
        <f>D27*H10</f>
        <v>23026.000000000004</v>
      </c>
      <c r="M39" s="68">
        <f>E27*H10</f>
        <v>3146.6160000000004</v>
      </c>
      <c r="N39" s="36">
        <f>D27*I10</f>
        <v>11115.999999999998</v>
      </c>
      <c r="O39" s="36">
        <f>E27*I10</f>
        <v>1519.0559999999998</v>
      </c>
    </row>
    <row r="40" spans="2:15">
      <c r="B40" t="s">
        <v>89</v>
      </c>
      <c r="C40" t="s">
        <v>275</v>
      </c>
      <c r="D40" s="68">
        <f>D23*D11</f>
        <v>326.06329417167592</v>
      </c>
      <c r="E40" s="68">
        <f>E23*D11</f>
        <v>111.54528000000003</v>
      </c>
      <c r="F40" s="36">
        <f>D23*E11</f>
        <v>163.0316470858379</v>
      </c>
      <c r="G40" s="36">
        <f>E23*E11</f>
        <v>55.772639999999996</v>
      </c>
      <c r="H40" s="68">
        <f>D25*F11</f>
        <v>1860.0000000000005</v>
      </c>
      <c r="I40" s="68">
        <f>E25*F11</f>
        <v>657.60000000000014</v>
      </c>
      <c r="J40" s="36">
        <f>D25*G11</f>
        <v>930</v>
      </c>
      <c r="K40" s="36">
        <f>E25*G11</f>
        <v>328.8</v>
      </c>
      <c r="L40" s="68">
        <f>D27*H11</f>
        <v>19056.000000000004</v>
      </c>
      <c r="M40" s="68">
        <f>E27*H11</f>
        <v>2604.0960000000005</v>
      </c>
      <c r="N40" s="36">
        <f>D27*I11</f>
        <v>9528</v>
      </c>
      <c r="O40" s="36">
        <f>E27*I11</f>
        <v>1302.048</v>
      </c>
    </row>
    <row r="41" spans="2:15">
      <c r="C41" t="s">
        <v>276</v>
      </c>
      <c r="D41" s="68">
        <f>D23*D12</f>
        <v>1630.316470858379</v>
      </c>
      <c r="E41" s="68">
        <f>E23*D12</f>
        <v>557.72640000000001</v>
      </c>
      <c r="F41" s="36">
        <f>D23*E12</f>
        <v>679.29852952432464</v>
      </c>
      <c r="G41" s="36">
        <f>E23*E12</f>
        <v>232.38600000000002</v>
      </c>
      <c r="H41" s="68">
        <f>D25*F12</f>
        <v>9300</v>
      </c>
      <c r="I41" s="68">
        <f>E25*F12</f>
        <v>3288</v>
      </c>
      <c r="J41" s="36">
        <f>D25*G12</f>
        <v>3875</v>
      </c>
      <c r="K41" s="36">
        <f>E25*G12</f>
        <v>1370</v>
      </c>
      <c r="L41" s="68">
        <f>D27*H12</f>
        <v>95280</v>
      </c>
      <c r="M41" s="68">
        <f>E27*H12</f>
        <v>13020.48</v>
      </c>
      <c r="N41" s="36">
        <f>D27*I12</f>
        <v>39700</v>
      </c>
      <c r="O41" s="36">
        <f>E27*I12</f>
        <v>5425.2</v>
      </c>
    </row>
    <row r="42" spans="2:15">
      <c r="C42" t="s">
        <v>277</v>
      </c>
      <c r="D42" s="68">
        <f>D23*D13</f>
        <v>258.13344121924342</v>
      </c>
      <c r="E42" s="68">
        <f>E23*D13</f>
        <v>88.306680000000014</v>
      </c>
      <c r="F42" s="36">
        <f>D23*E13</f>
        <v>135.85970590486491</v>
      </c>
      <c r="G42" s="36">
        <f>E23*E13</f>
        <v>46.477199999999996</v>
      </c>
      <c r="H42" s="68">
        <f>D25*F13</f>
        <v>1549.9999999999998</v>
      </c>
      <c r="I42" s="68">
        <f>E25*F13</f>
        <v>548</v>
      </c>
      <c r="J42" s="36">
        <f>D25*G13</f>
        <v>619.99999999999989</v>
      </c>
      <c r="K42" s="36">
        <f>E25*G13</f>
        <v>219.19999999999996</v>
      </c>
      <c r="L42" s="68">
        <f>D27*H13</f>
        <v>15086</v>
      </c>
      <c r="M42" s="68">
        <f>E27*H13</f>
        <v>2061.576</v>
      </c>
      <c r="N42" s="36">
        <f>D27*I13</f>
        <v>7939.9999999999991</v>
      </c>
      <c r="O42" s="36">
        <f>E27*I13</f>
        <v>1085.04</v>
      </c>
    </row>
    <row r="43" spans="2:15">
      <c r="B43" s="9" t="s">
        <v>75</v>
      </c>
      <c r="C43" s="9" t="s">
        <v>103</v>
      </c>
      <c r="D43" s="36">
        <f>D23*D14</f>
        <v>13.585970590486491</v>
      </c>
      <c r="E43" s="36">
        <f>E23*D14</f>
        <v>4.6477199999999996</v>
      </c>
      <c r="H43" s="36">
        <f>D25*F14</f>
        <v>123.99999999999997</v>
      </c>
      <c r="I43" s="36">
        <f>E25*F14</f>
        <v>43.839999999999989</v>
      </c>
      <c r="L43" s="36">
        <f>D27*H14</f>
        <v>952.79999999999984</v>
      </c>
      <c r="M43" s="36">
        <f>E27*H14</f>
        <v>130.20479999999998</v>
      </c>
    </row>
    <row r="44" spans="2:15">
      <c r="C44" t="s">
        <v>109</v>
      </c>
      <c r="D44" s="36">
        <f>D23*D15</f>
        <v>652.12658834335173</v>
      </c>
      <c r="E44" s="36">
        <f>E23*D15</f>
        <v>223.09056000000001</v>
      </c>
      <c r="H44" s="36">
        <f>D25*F15</f>
        <v>4959.9999999999991</v>
      </c>
      <c r="I44" s="36">
        <f>E25*F15</f>
        <v>1753.5999999999997</v>
      </c>
      <c r="L44" s="36">
        <f>D27*H15</f>
        <v>42875.999999999993</v>
      </c>
      <c r="M44" s="36">
        <f>E27*H15</f>
        <v>5859.2159999999985</v>
      </c>
    </row>
    <row r="45" spans="2:15">
      <c r="C45" t="s">
        <v>112</v>
      </c>
      <c r="D45" s="36">
        <f>D23*D16</f>
        <v>152.84216914297303</v>
      </c>
      <c r="E45" s="36">
        <f>E23*D16</f>
        <v>52.286849999999994</v>
      </c>
      <c r="H45" s="36">
        <f>D25*F16</f>
        <v>1162.4999999999998</v>
      </c>
      <c r="I45" s="36">
        <f>E25*F16</f>
        <v>410.99999999999989</v>
      </c>
      <c r="L45" s="36">
        <f>D27*H16</f>
        <v>11909.999999999998</v>
      </c>
      <c r="M45" s="36">
        <f>E27*H16</f>
        <v>1627.5599999999995</v>
      </c>
    </row>
    <row r="46" spans="2:15">
      <c r="D46" s="9"/>
      <c r="E46" s="9"/>
      <c r="F46" s="9"/>
      <c r="H46" s="9"/>
      <c r="I46" s="9"/>
      <c r="J46" s="9"/>
      <c r="K46" s="9"/>
      <c r="L46" s="9"/>
      <c r="M46" s="9"/>
      <c r="N46" s="9"/>
      <c r="O46" s="9"/>
    </row>
    <row r="47" spans="2:1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</row>
    <row r="48" spans="2:1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</row>
    <row r="49" spans="2:15" ht="32.549999999999997" customHeight="1">
      <c r="C49" t="s">
        <v>290</v>
      </c>
      <c r="D49" s="95" t="s">
        <v>265</v>
      </c>
      <c r="E49" s="95"/>
      <c r="F49" s="95" t="s">
        <v>266</v>
      </c>
      <c r="G49" s="95"/>
      <c r="H49" s="95" t="s">
        <v>267</v>
      </c>
      <c r="I49" s="95"/>
      <c r="J49" s="95" t="s">
        <v>268</v>
      </c>
      <c r="K49" s="95"/>
      <c r="L49" s="95" t="s">
        <v>296</v>
      </c>
      <c r="M49" s="95"/>
      <c r="N49" s="95" t="s">
        <v>270</v>
      </c>
      <c r="O49" s="95"/>
    </row>
    <row r="50" spans="2:15" ht="19.8" customHeight="1">
      <c r="B50" s="39" t="s">
        <v>164</v>
      </c>
      <c r="D50" s="10" t="s">
        <v>282</v>
      </c>
      <c r="E50" s="10" t="s">
        <v>283</v>
      </c>
      <c r="F50" s="10" t="s">
        <v>282</v>
      </c>
      <c r="G50" s="10" t="s">
        <v>283</v>
      </c>
      <c r="H50" s="10" t="s">
        <v>282</v>
      </c>
      <c r="I50" s="10" t="s">
        <v>283</v>
      </c>
      <c r="J50" s="10" t="s">
        <v>282</v>
      </c>
      <c r="K50" s="10" t="s">
        <v>283</v>
      </c>
      <c r="L50" s="10" t="s">
        <v>282</v>
      </c>
      <c r="M50" s="10" t="s">
        <v>283</v>
      </c>
      <c r="N50" s="10" t="s">
        <v>282</v>
      </c>
      <c r="O50" s="10" t="s">
        <v>283</v>
      </c>
    </row>
    <row r="51" spans="2:15">
      <c r="B51" s="9" t="s">
        <v>166</v>
      </c>
      <c r="C51" s="9" t="s">
        <v>271</v>
      </c>
      <c r="D51" s="36">
        <f>G23*D6</f>
        <v>358109.29440000001</v>
      </c>
      <c r="E51" s="36">
        <f>H23*D6</f>
        <v>123348.75695999998</v>
      </c>
      <c r="F51" s="68">
        <f>G23*E6</f>
        <v>296008.02</v>
      </c>
      <c r="G51" s="68">
        <f>H23*E6</f>
        <v>101958.318</v>
      </c>
      <c r="H51" s="36">
        <f>G25*F6</f>
        <v>96012</v>
      </c>
      <c r="I51" s="36">
        <f>H25*F6</f>
        <v>33070.800000000003</v>
      </c>
      <c r="J51" s="68">
        <f>G25*G6</f>
        <v>77868.000000000015</v>
      </c>
      <c r="K51" s="68">
        <f>H25*G6</f>
        <v>26821.200000000008</v>
      </c>
      <c r="L51" s="36">
        <f>G27*H6</f>
        <v>600537.59999999998</v>
      </c>
      <c r="M51" s="36">
        <f>H27*H6</f>
        <v>206851.84</v>
      </c>
      <c r="N51" s="68">
        <f>G27*I6</f>
        <v>497952.00000000012</v>
      </c>
      <c r="O51" s="68">
        <f>H27*I6</f>
        <v>171516.80000000005</v>
      </c>
    </row>
    <row r="52" spans="2:15">
      <c r="C52" t="s">
        <v>272</v>
      </c>
      <c r="D52" s="68">
        <f>G23*D7</f>
        <v>2060940.7368000003</v>
      </c>
      <c r="E52" s="68">
        <f>H23*D7</f>
        <v>709879.58712000004</v>
      </c>
      <c r="F52" s="36">
        <f>G23*E7</f>
        <v>571959.98640000005</v>
      </c>
      <c r="G52" s="36">
        <f>H23*E7</f>
        <v>197008.43976000001</v>
      </c>
      <c r="H52" s="68">
        <f>G25*F7</f>
        <v>399735</v>
      </c>
      <c r="I52" s="68">
        <f>H25*F7</f>
        <v>137686.5</v>
      </c>
      <c r="J52" s="36">
        <f>G25*G7</f>
        <v>110376</v>
      </c>
      <c r="K52" s="36">
        <f>H25*G7</f>
        <v>38018.400000000001</v>
      </c>
      <c r="L52" s="68">
        <f>G27*H7</f>
        <v>3110515.1999999997</v>
      </c>
      <c r="M52" s="68">
        <f>H27*H7</f>
        <v>1071399.68</v>
      </c>
      <c r="N52" s="36">
        <f>G27*I7</f>
        <v>867859.2</v>
      </c>
      <c r="O52" s="36">
        <f>H27*I7</f>
        <v>298929.27999999997</v>
      </c>
    </row>
    <row r="53" spans="2:15">
      <c r="C53" t="s">
        <v>274</v>
      </c>
      <c r="D53" s="68">
        <f>G23*D8</f>
        <v>123719.27040000004</v>
      </c>
      <c r="E53" s="68">
        <f>H23*D8</f>
        <v>42614.415360000006</v>
      </c>
      <c r="F53" s="36">
        <f>G23*E8</f>
        <v>30929.817600000009</v>
      </c>
      <c r="G53" s="36">
        <f>H23*E8</f>
        <v>10653.603840000002</v>
      </c>
      <c r="H53" s="68">
        <f>G25*F8</f>
        <v>24192.000000000004</v>
      </c>
      <c r="I53" s="68">
        <f>H25*F8</f>
        <v>8332.8000000000011</v>
      </c>
      <c r="J53" s="36">
        <f>G25*G8</f>
        <v>6048.0000000000009</v>
      </c>
      <c r="K53" s="36">
        <f>H25*G8</f>
        <v>2083.2000000000003</v>
      </c>
      <c r="L53" s="68">
        <f>G27*H8</f>
        <v>191692.80000000005</v>
      </c>
      <c r="M53" s="68">
        <f>H27*H8</f>
        <v>66027.520000000019</v>
      </c>
      <c r="N53" s="36">
        <f>G27*I8</f>
        <v>47923.200000000012</v>
      </c>
      <c r="O53" s="36">
        <f>H27*I8</f>
        <v>16506.880000000005</v>
      </c>
    </row>
    <row r="54" spans="2:15">
      <c r="C54" t="s">
        <v>72</v>
      </c>
      <c r="D54" s="36">
        <f>G23*D9</f>
        <v>204668.40240000002</v>
      </c>
      <c r="E54" s="36">
        <f>H23*D9</f>
        <v>70496.894160000011</v>
      </c>
      <c r="F54" s="68">
        <f>G23*E9</f>
        <v>156823.84079999998</v>
      </c>
      <c r="G54" s="68">
        <f>H23*E9</f>
        <v>54017.100719999995</v>
      </c>
      <c r="H54" s="36">
        <f>G25*F9</f>
        <v>34776</v>
      </c>
      <c r="I54" s="36">
        <f>H25*F9</f>
        <v>11978.4</v>
      </c>
      <c r="J54" s="68">
        <f>G25*G9</f>
        <v>24191.999999999996</v>
      </c>
      <c r="K54" s="68">
        <f>H25*G9</f>
        <v>8332.7999999999993</v>
      </c>
      <c r="L54" s="36">
        <f>G27*H9</f>
        <v>307756.80000000005</v>
      </c>
      <c r="M54" s="36">
        <f>H27*H9</f>
        <v>106005.12000000001</v>
      </c>
      <c r="N54" s="68">
        <f>G27*I9</f>
        <v>238118.39999999997</v>
      </c>
      <c r="O54" s="68">
        <f>H27*I9</f>
        <v>82018.559999999998</v>
      </c>
    </row>
    <row r="55" spans="2:15">
      <c r="B55" t="s">
        <v>79</v>
      </c>
      <c r="C55" t="s">
        <v>80</v>
      </c>
      <c r="D55" s="68">
        <f>G23*D10</f>
        <v>12323.599200000004</v>
      </c>
      <c r="E55" s="68">
        <f>H23*D10</f>
        <v>4244.7952800000012</v>
      </c>
      <c r="F55" s="36">
        <f>G23*E10</f>
        <v>6282.6192000000001</v>
      </c>
      <c r="G55" s="36">
        <f>H23*E10</f>
        <v>2164.0132800000001</v>
      </c>
      <c r="H55" s="68">
        <f>G25*F10</f>
        <v>3591.0000000000005</v>
      </c>
      <c r="I55" s="68">
        <f>H25*F10</f>
        <v>1236.9000000000001</v>
      </c>
      <c r="J55" s="36">
        <f>G25*G10</f>
        <v>1701</v>
      </c>
      <c r="K55" s="36">
        <f>H25*G10</f>
        <v>585.9</v>
      </c>
      <c r="L55" s="68">
        <f>G27*H10</f>
        <v>21715.200000000004</v>
      </c>
      <c r="M55" s="68">
        <f>H27*H10</f>
        <v>7479.6800000000012</v>
      </c>
      <c r="N55" s="36">
        <f>G27*I10</f>
        <v>10483.199999999999</v>
      </c>
      <c r="O55" s="36">
        <f>H27*I10</f>
        <v>3610.8799999999997</v>
      </c>
    </row>
    <row r="56" spans="2:15">
      <c r="B56" t="s">
        <v>89</v>
      </c>
      <c r="C56" t="s">
        <v>275</v>
      </c>
      <c r="D56" s="68">
        <f>G23*D11</f>
        <v>11598.681600000004</v>
      </c>
      <c r="E56" s="68">
        <f>H23*D11</f>
        <v>3995.1014400000008</v>
      </c>
      <c r="F56" s="36">
        <f>G23*E11</f>
        <v>5799.3407999999999</v>
      </c>
      <c r="G56" s="36">
        <f>H23*E11</f>
        <v>1997.5507199999997</v>
      </c>
      <c r="H56" s="68">
        <f>G25*F11</f>
        <v>2268.0000000000005</v>
      </c>
      <c r="I56" s="68">
        <f>H25*F11</f>
        <v>781.20000000000016</v>
      </c>
      <c r="J56" s="36">
        <f>G25*G11</f>
        <v>1134</v>
      </c>
      <c r="K56" s="36">
        <f>H25*G11</f>
        <v>390.59999999999997</v>
      </c>
      <c r="L56" s="68">
        <f>G27*H11</f>
        <v>17971.200000000004</v>
      </c>
      <c r="M56" s="68">
        <f>H27*H11</f>
        <v>6190.0800000000008</v>
      </c>
      <c r="N56" s="36">
        <f>G27*I11</f>
        <v>8985.6</v>
      </c>
      <c r="O56" s="36">
        <f>H27*I11</f>
        <v>3095.04</v>
      </c>
    </row>
    <row r="57" spans="2:15">
      <c r="C57" t="s">
        <v>276</v>
      </c>
      <c r="D57" s="68">
        <f>G23*D12</f>
        <v>57993.408000000003</v>
      </c>
      <c r="E57" s="68">
        <f>H23*D12</f>
        <v>19975.5072</v>
      </c>
      <c r="F57" s="36">
        <f>G23*E12</f>
        <v>24163.920000000002</v>
      </c>
      <c r="G57" s="36">
        <f>H23*E12</f>
        <v>8323.1280000000006</v>
      </c>
      <c r="H57" s="68">
        <f>G25*F12</f>
        <v>11340</v>
      </c>
      <c r="I57" s="68">
        <f>H25*F12</f>
        <v>3906</v>
      </c>
      <c r="J57" s="36">
        <f>G25*G12</f>
        <v>4725</v>
      </c>
      <c r="K57" s="36">
        <f>H25*G12</f>
        <v>1627.5</v>
      </c>
      <c r="L57" s="68">
        <f>G27*H12</f>
        <v>89856</v>
      </c>
      <c r="M57" s="68">
        <f>H27*H12</f>
        <v>30950.399999999998</v>
      </c>
      <c r="N57" s="36">
        <f>G27*I12</f>
        <v>37440</v>
      </c>
      <c r="O57" s="36">
        <f>H27*I12</f>
        <v>12896</v>
      </c>
    </row>
    <row r="58" spans="2:15">
      <c r="C58" t="s">
        <v>277</v>
      </c>
      <c r="D58" s="68">
        <f>G23*D13</f>
        <v>9182.2896000000019</v>
      </c>
      <c r="E58" s="68">
        <f>H23*D13</f>
        <v>3162.7886400000007</v>
      </c>
      <c r="F58" s="36">
        <f>G23*E13</f>
        <v>4832.7839999999997</v>
      </c>
      <c r="G58" s="36">
        <f>H23*E13</f>
        <v>1664.6255999999998</v>
      </c>
      <c r="H58" s="68">
        <f>G25*F13</f>
        <v>1889.9999999999998</v>
      </c>
      <c r="I58" s="68">
        <f>H25*F13</f>
        <v>651</v>
      </c>
      <c r="J58" s="36">
        <f>G25*G13</f>
        <v>755.99999999999989</v>
      </c>
      <c r="K58" s="36">
        <f>H25*G13</f>
        <v>260.39999999999998</v>
      </c>
      <c r="L58" s="68">
        <f>G27*H13</f>
        <v>14227.2</v>
      </c>
      <c r="M58" s="68">
        <f>H27*H13</f>
        <v>4900.4800000000005</v>
      </c>
      <c r="N58" s="36">
        <f>G27*I13</f>
        <v>7487.9999999999991</v>
      </c>
      <c r="O58" s="36">
        <f>H27*I13</f>
        <v>2579.1999999999998</v>
      </c>
    </row>
    <row r="59" spans="2:15">
      <c r="B59" s="9" t="s">
        <v>75</v>
      </c>
      <c r="C59" s="9" t="s">
        <v>103</v>
      </c>
      <c r="D59" s="36">
        <f>G23*D14</f>
        <v>483.27839999999998</v>
      </c>
      <c r="E59" s="36">
        <f>H23*D14</f>
        <v>166.46256</v>
      </c>
      <c r="H59" s="36">
        <f>G25*F14</f>
        <v>151.19999999999996</v>
      </c>
      <c r="I59" s="36">
        <f>H25*F14</f>
        <v>52.079999999999991</v>
      </c>
      <c r="L59" s="36">
        <f>G27*H14</f>
        <v>898.56</v>
      </c>
      <c r="M59" s="36">
        <f>H27*H14</f>
        <v>309.50399999999996</v>
      </c>
    </row>
    <row r="60" spans="2:15">
      <c r="C60" t="s">
        <v>109</v>
      </c>
      <c r="D60" s="36">
        <f>G23*D15</f>
        <v>23197.363200000003</v>
      </c>
      <c r="E60" s="36">
        <f>H23*D15</f>
        <v>7990.2028800000007</v>
      </c>
      <c r="H60" s="36" cm="1">
        <f t="array" ref="H60">G25*_xlfn.ANCHORARRAY(F15)</f>
        <v>6047.9999999999991</v>
      </c>
      <c r="I60" s="36">
        <f>H25*F15</f>
        <v>2083.1999999999998</v>
      </c>
      <c r="L60" s="36">
        <f>G27*H15</f>
        <v>40435.199999999997</v>
      </c>
      <c r="M60" s="36">
        <f>H27*H15</f>
        <v>13927.679999999998</v>
      </c>
    </row>
    <row r="61" spans="2:15">
      <c r="C61" t="s">
        <v>112</v>
      </c>
      <c r="D61" s="36">
        <f>G23*D16</f>
        <v>5436.8819999999996</v>
      </c>
      <c r="E61" s="36">
        <f>H23*D16</f>
        <v>1872.7037999999998</v>
      </c>
      <c r="H61" s="36">
        <f>G25*F16</f>
        <v>1417.4999999999998</v>
      </c>
      <c r="I61" s="36">
        <f>H25*F16</f>
        <v>488.24999999999989</v>
      </c>
      <c r="L61" s="36">
        <f>G27*H16</f>
        <v>11231.999999999998</v>
      </c>
      <c r="M61" s="36">
        <f>H27*H16</f>
        <v>3868.7999999999993</v>
      </c>
    </row>
    <row r="62" spans="2:15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</row>
    <row r="63" spans="2:15">
      <c r="B63" s="9"/>
      <c r="C63" s="9"/>
      <c r="D63" s="9"/>
      <c r="E63" s="9"/>
    </row>
    <row r="64" spans="2:15">
      <c r="B64" s="9"/>
      <c r="C64" s="9"/>
      <c r="D64" s="9"/>
      <c r="E64" s="9"/>
    </row>
    <row r="65" spans="2:15" ht="32.549999999999997" customHeight="1">
      <c r="C65" t="s">
        <v>290</v>
      </c>
      <c r="D65" s="95" t="s">
        <v>265</v>
      </c>
      <c r="E65" s="95"/>
      <c r="F65" s="95" t="s">
        <v>266</v>
      </c>
      <c r="G65" s="95"/>
      <c r="H65" s="95" t="s">
        <v>267</v>
      </c>
      <c r="I65" s="95"/>
      <c r="J65" s="95" t="s">
        <v>268</v>
      </c>
      <c r="K65" s="95"/>
      <c r="L65" s="95" t="s">
        <v>296</v>
      </c>
      <c r="M65" s="95"/>
      <c r="N65" s="95" t="s">
        <v>270</v>
      </c>
      <c r="O65" s="95"/>
    </row>
    <row r="66" spans="2:15" ht="19.8" customHeight="1">
      <c r="B66" s="40" t="s">
        <v>297</v>
      </c>
      <c r="D66" s="10" t="s">
        <v>282</v>
      </c>
      <c r="E66" s="10" t="s">
        <v>283</v>
      </c>
      <c r="F66" s="10" t="s">
        <v>282</v>
      </c>
      <c r="G66" s="10" t="s">
        <v>283</v>
      </c>
      <c r="H66" s="10" t="s">
        <v>282</v>
      </c>
      <c r="I66" s="10" t="s">
        <v>283</v>
      </c>
      <c r="J66" s="10" t="s">
        <v>282</v>
      </c>
      <c r="K66" s="10" t="s">
        <v>283</v>
      </c>
      <c r="L66" s="10" t="s">
        <v>282</v>
      </c>
      <c r="M66" s="10" t="s">
        <v>283</v>
      </c>
      <c r="N66" s="10" t="s">
        <v>282</v>
      </c>
      <c r="O66" s="10" t="s">
        <v>283</v>
      </c>
    </row>
    <row r="67" spans="2:15">
      <c r="B67" s="9" t="s">
        <v>166</v>
      </c>
      <c r="C67" s="9" t="s">
        <v>271</v>
      </c>
      <c r="D67" s="36">
        <f t="shared" ref="D67:D77" si="1">K$23*D6</f>
        <v>228456.22799999994</v>
      </c>
      <c r="E67" s="36">
        <f t="shared" ref="E67:E77" si="2">L$23*D6</f>
        <v>104437.13279999999</v>
      </c>
      <c r="F67" s="68">
        <f t="shared" ref="F67:F74" si="3">K$23*E6</f>
        <v>188838.65</v>
      </c>
      <c r="G67" s="68">
        <f t="shared" ref="G67:G74" si="4">L$23*E6</f>
        <v>86326.24</v>
      </c>
      <c r="H67" s="36">
        <f t="shared" ref="H67:H77" si="5">hospitalisation_de*F6</f>
        <v>1209751.2</v>
      </c>
      <c r="I67" s="36">
        <f t="shared" ref="I67:I77" si="6">L$25*F6</f>
        <v>553029.11999999988</v>
      </c>
      <c r="J67" s="68">
        <f t="shared" ref="J67:J74" si="7">hospitalisation_de*G6</f>
        <v>981136.80000000016</v>
      </c>
      <c r="K67" s="68">
        <f t="shared" ref="K67:K74" si="8">L$25*G6</f>
        <v>448519.68000000005</v>
      </c>
      <c r="L67" s="36">
        <f t="shared" ref="L67:L77" si="9">K$27*H6</f>
        <v>45152279.199999996</v>
      </c>
      <c r="M67" s="36">
        <f t="shared" ref="M67:M77" si="10">L$27*H6</f>
        <v>20641041.919999998</v>
      </c>
      <c r="N67" s="68">
        <f t="shared" ref="N67:N74" si="11">K$27*I6</f>
        <v>37439234.000000007</v>
      </c>
      <c r="O67" s="68">
        <f t="shared" ref="O67:O74" si="12">L$27*I6</f>
        <v>17115078.400000002</v>
      </c>
    </row>
    <row r="68" spans="2:15">
      <c r="C68" t="s">
        <v>272</v>
      </c>
      <c r="D68" s="68">
        <f t="shared" si="1"/>
        <v>1314779.466</v>
      </c>
      <c r="E68" s="68">
        <f t="shared" si="2"/>
        <v>601042.0416</v>
      </c>
      <c r="F68" s="36">
        <f t="shared" si="3"/>
        <v>364882.51799999998</v>
      </c>
      <c r="G68" s="36">
        <f t="shared" si="4"/>
        <v>166803.4368</v>
      </c>
      <c r="H68" s="68">
        <f t="shared" si="5"/>
        <v>5036660.9999999991</v>
      </c>
      <c r="I68" s="68">
        <f t="shared" si="6"/>
        <v>2302473.5999999996</v>
      </c>
      <c r="J68" s="36">
        <f t="shared" si="7"/>
        <v>1390737.5999999999</v>
      </c>
      <c r="K68" s="36">
        <f t="shared" si="8"/>
        <v>635765.75999999989</v>
      </c>
      <c r="L68" s="68">
        <f t="shared" si="9"/>
        <v>233868538.40000001</v>
      </c>
      <c r="M68" s="68">
        <f t="shared" si="10"/>
        <v>106911331.84</v>
      </c>
      <c r="N68" s="36">
        <f t="shared" si="11"/>
        <v>65251236.399999999</v>
      </c>
      <c r="O68" s="36">
        <f t="shared" si="12"/>
        <v>29829136.640000001</v>
      </c>
    </row>
    <row r="69" spans="2:15">
      <c r="C69" t="s">
        <v>274</v>
      </c>
      <c r="D69" s="68">
        <f t="shared" si="1"/>
        <v>78926.847999999998</v>
      </c>
      <c r="E69" s="68">
        <f t="shared" si="2"/>
        <v>36080.844800000006</v>
      </c>
      <c r="F69" s="36">
        <f t="shared" si="3"/>
        <v>19731.712</v>
      </c>
      <c r="G69" s="36">
        <f t="shared" si="4"/>
        <v>9020.2112000000016</v>
      </c>
      <c r="H69" s="68">
        <f t="shared" si="5"/>
        <v>304819.20000000001</v>
      </c>
      <c r="I69" s="68">
        <f t="shared" si="6"/>
        <v>139345.92000000001</v>
      </c>
      <c r="J69" s="36">
        <f t="shared" si="7"/>
        <v>76204.800000000003</v>
      </c>
      <c r="K69" s="36">
        <f t="shared" si="8"/>
        <v>34836.480000000003</v>
      </c>
      <c r="L69" s="68">
        <f t="shared" si="9"/>
        <v>14412697.600000003</v>
      </c>
      <c r="M69" s="68">
        <f t="shared" si="10"/>
        <v>6588661.7600000016</v>
      </c>
      <c r="N69" s="36">
        <f t="shared" si="11"/>
        <v>3603174.4000000008</v>
      </c>
      <c r="O69" s="36">
        <f t="shared" si="12"/>
        <v>1647165.4400000004</v>
      </c>
    </row>
    <row r="70" spans="2:15">
      <c r="C70" t="s">
        <v>72</v>
      </c>
      <c r="D70" s="36">
        <f t="shared" si="1"/>
        <v>130568.43799999999</v>
      </c>
      <c r="E70" s="36">
        <f t="shared" si="2"/>
        <v>59688.428800000002</v>
      </c>
      <c r="F70" s="68">
        <f t="shared" si="3"/>
        <v>100045.94599999997</v>
      </c>
      <c r="G70" s="68">
        <f t="shared" si="4"/>
        <v>45735.289599999989</v>
      </c>
      <c r="H70" s="36">
        <f t="shared" si="5"/>
        <v>438177.6</v>
      </c>
      <c r="I70" s="36">
        <f t="shared" si="6"/>
        <v>200309.75999999998</v>
      </c>
      <c r="J70" s="68">
        <f t="shared" si="7"/>
        <v>304819.1999999999</v>
      </c>
      <c r="K70" s="68">
        <f t="shared" si="8"/>
        <v>139345.91999999995</v>
      </c>
      <c r="L70" s="36">
        <f t="shared" si="9"/>
        <v>23139135.600000001</v>
      </c>
      <c r="M70" s="36">
        <f t="shared" si="10"/>
        <v>10577890.560000001</v>
      </c>
      <c r="N70" s="68">
        <f t="shared" si="11"/>
        <v>17903272.799999997</v>
      </c>
      <c r="O70" s="68">
        <f t="shared" si="12"/>
        <v>8184353.2799999993</v>
      </c>
    </row>
    <row r="71" spans="2:15">
      <c r="B71" t="s">
        <v>79</v>
      </c>
      <c r="C71" t="s">
        <v>80</v>
      </c>
      <c r="D71" s="68">
        <f t="shared" si="1"/>
        <v>7861.8540000000012</v>
      </c>
      <c r="E71" s="68">
        <f t="shared" si="2"/>
        <v>3593.9904000000006</v>
      </c>
      <c r="F71" s="36">
        <f t="shared" si="3"/>
        <v>4008.0039999999995</v>
      </c>
      <c r="G71" s="36">
        <f t="shared" si="4"/>
        <v>1832.2303999999999</v>
      </c>
      <c r="H71" s="68">
        <f t="shared" si="5"/>
        <v>45246.6</v>
      </c>
      <c r="I71" s="68">
        <f t="shared" si="6"/>
        <v>20684.16</v>
      </c>
      <c r="J71" s="36">
        <f t="shared" si="7"/>
        <v>21432.599999999995</v>
      </c>
      <c r="K71" s="36">
        <f t="shared" si="8"/>
        <v>9797.7599999999984</v>
      </c>
      <c r="L71" s="68">
        <f t="shared" si="9"/>
        <v>1632688.4000000001</v>
      </c>
      <c r="M71" s="68">
        <f t="shared" si="10"/>
        <v>746371.84000000008</v>
      </c>
      <c r="N71" s="36">
        <f t="shared" si="11"/>
        <v>788194.39999999991</v>
      </c>
      <c r="O71" s="36">
        <f t="shared" si="12"/>
        <v>360317.43999999994</v>
      </c>
    </row>
    <row r="72" spans="2:15">
      <c r="B72" t="s">
        <v>89</v>
      </c>
      <c r="C72" t="s">
        <v>275</v>
      </c>
      <c r="D72" s="68">
        <f t="shared" si="1"/>
        <v>7399.3920000000007</v>
      </c>
      <c r="E72" s="68">
        <f t="shared" si="2"/>
        <v>3382.5792000000006</v>
      </c>
      <c r="F72" s="36">
        <f t="shared" si="3"/>
        <v>3699.695999999999</v>
      </c>
      <c r="G72" s="36">
        <f t="shared" si="4"/>
        <v>1691.2895999999998</v>
      </c>
      <c r="H72" s="68">
        <f t="shared" si="5"/>
        <v>28576.800000000003</v>
      </c>
      <c r="I72" s="68">
        <f t="shared" si="6"/>
        <v>13063.68</v>
      </c>
      <c r="J72" s="36">
        <f t="shared" si="7"/>
        <v>14288.399999999998</v>
      </c>
      <c r="K72" s="36">
        <f t="shared" si="8"/>
        <v>6531.8399999999992</v>
      </c>
      <c r="L72" s="68">
        <f t="shared" si="9"/>
        <v>1351190.4000000004</v>
      </c>
      <c r="M72" s="68">
        <f t="shared" si="10"/>
        <v>617687.04000000015</v>
      </c>
      <c r="N72" s="36">
        <f t="shared" si="11"/>
        <v>675595.2</v>
      </c>
      <c r="O72" s="36">
        <f t="shared" si="12"/>
        <v>308843.51999999996</v>
      </c>
    </row>
    <row r="73" spans="2:15">
      <c r="C73" t="s">
        <v>276</v>
      </c>
      <c r="D73" s="68">
        <f t="shared" si="1"/>
        <v>36996.959999999992</v>
      </c>
      <c r="E73" s="68">
        <f t="shared" si="2"/>
        <v>16912.895999999997</v>
      </c>
      <c r="F73" s="36">
        <f t="shared" si="3"/>
        <v>15415.399999999998</v>
      </c>
      <c r="G73" s="36">
        <f t="shared" si="4"/>
        <v>7047.04</v>
      </c>
      <c r="H73" s="68">
        <f t="shared" si="5"/>
        <v>142883.99999999997</v>
      </c>
      <c r="I73" s="68">
        <f t="shared" si="6"/>
        <v>65318.399999999987</v>
      </c>
      <c r="J73" s="36">
        <f t="shared" si="7"/>
        <v>59534.999999999993</v>
      </c>
      <c r="K73" s="36">
        <f t="shared" si="8"/>
        <v>27215.999999999996</v>
      </c>
      <c r="L73" s="68">
        <f t="shared" si="9"/>
        <v>6755952</v>
      </c>
      <c r="M73" s="68">
        <f t="shared" si="10"/>
        <v>3088435.1999999997</v>
      </c>
      <c r="N73" s="36">
        <f t="shared" si="11"/>
        <v>2814980</v>
      </c>
      <c r="O73" s="36">
        <f t="shared" si="12"/>
        <v>1286848</v>
      </c>
    </row>
    <row r="74" spans="2:15">
      <c r="C74" t="s">
        <v>277</v>
      </c>
      <c r="D74" s="68">
        <f t="shared" si="1"/>
        <v>5857.8519999999999</v>
      </c>
      <c r="E74" s="68">
        <f t="shared" si="2"/>
        <v>2677.8752000000004</v>
      </c>
      <c r="F74" s="36">
        <f t="shared" si="3"/>
        <v>3083.0799999999995</v>
      </c>
      <c r="G74" s="36">
        <f t="shared" si="4"/>
        <v>1409.4079999999999</v>
      </c>
      <c r="H74" s="68">
        <f t="shared" si="5"/>
        <v>23813.999999999996</v>
      </c>
      <c r="I74" s="68">
        <f t="shared" si="6"/>
        <v>10886.399999999998</v>
      </c>
      <c r="J74" s="36">
        <f t="shared" si="7"/>
        <v>9525.5999999999967</v>
      </c>
      <c r="K74" s="36">
        <f t="shared" si="8"/>
        <v>4354.5599999999986</v>
      </c>
      <c r="L74" s="68">
        <f t="shared" si="9"/>
        <v>1069692.3999999999</v>
      </c>
      <c r="M74" s="68">
        <f t="shared" si="10"/>
        <v>489002.23999999999</v>
      </c>
      <c r="N74" s="36">
        <f t="shared" si="11"/>
        <v>562996</v>
      </c>
      <c r="O74" s="36">
        <f t="shared" si="12"/>
        <v>257369.59999999998</v>
      </c>
    </row>
    <row r="75" spans="2:15">
      <c r="B75" s="9" t="s">
        <v>75</v>
      </c>
      <c r="C75" s="9" t="s">
        <v>103</v>
      </c>
      <c r="D75" s="36">
        <f t="shared" si="1"/>
        <v>308.30799999999994</v>
      </c>
      <c r="E75" s="36">
        <f t="shared" si="2"/>
        <v>140.94079999999997</v>
      </c>
      <c r="H75" s="36">
        <f t="shared" si="5"/>
        <v>1905.1199999999994</v>
      </c>
      <c r="I75" s="36">
        <f t="shared" si="6"/>
        <v>870.91199999999969</v>
      </c>
      <c r="L75" s="36">
        <f t="shared" si="9"/>
        <v>67559.51999999999</v>
      </c>
      <c r="M75" s="36">
        <f t="shared" si="10"/>
        <v>30884.351999999995</v>
      </c>
    </row>
    <row r="76" spans="2:15">
      <c r="C76" t="s">
        <v>109</v>
      </c>
      <c r="D76" s="36">
        <f t="shared" si="1"/>
        <v>14798.784</v>
      </c>
      <c r="E76" s="36">
        <f t="shared" si="2"/>
        <v>6765.1584000000003</v>
      </c>
      <c r="H76" s="36">
        <f t="shared" si="5"/>
        <v>76204.799999999974</v>
      </c>
      <c r="I76" s="36">
        <f t="shared" si="6"/>
        <v>34836.479999999989</v>
      </c>
      <c r="L76" s="36">
        <f t="shared" si="9"/>
        <v>3040178.3999999994</v>
      </c>
      <c r="M76" s="36">
        <f t="shared" si="10"/>
        <v>1389795.8399999999</v>
      </c>
    </row>
    <row r="77" spans="2:15">
      <c r="C77" t="s">
        <v>112</v>
      </c>
      <c r="D77" s="36">
        <f t="shared" si="1"/>
        <v>3468.4649999999992</v>
      </c>
      <c r="E77" s="36">
        <f t="shared" si="2"/>
        <v>1585.5839999999998</v>
      </c>
      <c r="H77" s="36">
        <f t="shared" si="5"/>
        <v>17860.499999999993</v>
      </c>
      <c r="I77" s="36">
        <f t="shared" si="6"/>
        <v>8164.7999999999975</v>
      </c>
      <c r="L77" s="36">
        <f t="shared" si="9"/>
        <v>844493.99999999977</v>
      </c>
      <c r="M77" s="36">
        <f t="shared" si="10"/>
        <v>386054.39999999991</v>
      </c>
    </row>
    <row r="80" spans="2:15">
      <c r="B80" s="3"/>
    </row>
    <row r="81" spans="2:15" ht="31.8" customHeight="1">
      <c r="C81" t="s">
        <v>290</v>
      </c>
      <c r="D81" s="95" t="s">
        <v>265</v>
      </c>
      <c r="E81" s="95"/>
      <c r="F81" s="95" t="s">
        <v>266</v>
      </c>
      <c r="G81" s="95"/>
      <c r="H81" s="95" t="s">
        <v>267</v>
      </c>
      <c r="I81" s="95"/>
      <c r="J81" s="95" t="s">
        <v>268</v>
      </c>
      <c r="K81" s="95"/>
      <c r="L81" s="95" t="s">
        <v>296</v>
      </c>
      <c r="M81" s="95"/>
      <c r="N81" s="95" t="s">
        <v>270</v>
      </c>
      <c r="O81" s="95"/>
    </row>
    <row r="82" spans="2:15" ht="26.4">
      <c r="B82" s="44" t="s">
        <v>426</v>
      </c>
      <c r="D82" s="10" t="s">
        <v>299</v>
      </c>
      <c r="E82" s="10" t="s">
        <v>300</v>
      </c>
      <c r="F82" s="10" t="s">
        <v>299</v>
      </c>
      <c r="G82" s="10" t="s">
        <v>300</v>
      </c>
      <c r="H82" s="10" t="s">
        <v>299</v>
      </c>
      <c r="I82" s="10" t="s">
        <v>300</v>
      </c>
      <c r="J82" s="10" t="s">
        <v>299</v>
      </c>
      <c r="K82" s="10" t="s">
        <v>300</v>
      </c>
      <c r="L82" s="10" t="s">
        <v>299</v>
      </c>
      <c r="M82" s="10" t="s">
        <v>300</v>
      </c>
      <c r="N82" s="10" t="s">
        <v>299</v>
      </c>
      <c r="O82" s="10" t="s">
        <v>300</v>
      </c>
    </row>
    <row r="83" spans="2:15">
      <c r="B83" s="9" t="s">
        <v>166</v>
      </c>
      <c r="C83" s="9" t="s">
        <v>271</v>
      </c>
      <c r="D83" s="36">
        <f t="shared" ref="D83:O83" si="13">D35+D51</f>
        <v>368176.49860755051</v>
      </c>
      <c r="E83" s="36">
        <f t="shared" si="13"/>
        <v>126792.71747999998</v>
      </c>
      <c r="F83" s="68">
        <f t="shared" si="13"/>
        <v>304329.42698667297</v>
      </c>
      <c r="G83" s="68">
        <f t="shared" si="13"/>
        <v>104805.0465</v>
      </c>
      <c r="H83" s="36">
        <f t="shared" si="13"/>
        <v>174752</v>
      </c>
      <c r="I83" s="36">
        <f t="shared" si="13"/>
        <v>60909.200000000004</v>
      </c>
      <c r="J83" s="68">
        <f t="shared" si="13"/>
        <v>141728.00000000003</v>
      </c>
      <c r="K83" s="68">
        <f t="shared" si="13"/>
        <v>49398.800000000017</v>
      </c>
      <c r="L83" s="36">
        <f t="shared" si="13"/>
        <v>1237325.6000000001</v>
      </c>
      <c r="M83" s="36">
        <f t="shared" si="13"/>
        <v>293872.04800000001</v>
      </c>
      <c r="N83" s="68">
        <f t="shared" si="13"/>
        <v>1025962.0000000002</v>
      </c>
      <c r="O83" s="68">
        <f t="shared" si="13"/>
        <v>243671.96000000008</v>
      </c>
    </row>
    <row r="84" spans="2:15">
      <c r="C84" t="s">
        <v>272</v>
      </c>
      <c r="D84" s="68">
        <f t="shared" ref="D84:O84" si="14">D36+D52</f>
        <v>2118878.1083831298</v>
      </c>
      <c r="E84" s="68">
        <f t="shared" si="14"/>
        <v>729699.7890600001</v>
      </c>
      <c r="F84" s="36">
        <f t="shared" si="14"/>
        <v>588038.9825938408</v>
      </c>
      <c r="G84" s="36">
        <f t="shared" si="14"/>
        <v>202509.01638000002</v>
      </c>
      <c r="H84" s="68">
        <f t="shared" si="14"/>
        <v>727560</v>
      </c>
      <c r="I84" s="68">
        <f t="shared" si="14"/>
        <v>253588.5</v>
      </c>
      <c r="J84" s="36">
        <f t="shared" si="14"/>
        <v>200896</v>
      </c>
      <c r="K84" s="36">
        <f t="shared" si="14"/>
        <v>70021.600000000006</v>
      </c>
      <c r="L84" s="68">
        <f t="shared" si="14"/>
        <v>6408791.1999999993</v>
      </c>
      <c r="M84" s="68">
        <f t="shared" si="14"/>
        <v>1522125.2959999999</v>
      </c>
      <c r="N84" s="36">
        <f t="shared" si="14"/>
        <v>1788105.2</v>
      </c>
      <c r="O84" s="36">
        <f t="shared" si="14"/>
        <v>424685.41599999997</v>
      </c>
    </row>
    <row r="85" spans="2:15">
      <c r="C85" t="s">
        <v>274</v>
      </c>
      <c r="D85" s="68">
        <f t="shared" ref="D85:O85" si="15">D37+D53</f>
        <v>127197.27887116458</v>
      </c>
      <c r="E85" s="68">
        <f t="shared" si="15"/>
        <v>43804.231680000004</v>
      </c>
      <c r="F85" s="36">
        <f t="shared" si="15"/>
        <v>31799.319717791146</v>
      </c>
      <c r="G85" s="36">
        <f t="shared" si="15"/>
        <v>10951.057920000001</v>
      </c>
      <c r="H85" s="68">
        <f t="shared" si="15"/>
        <v>44032.000000000007</v>
      </c>
      <c r="I85" s="68">
        <f t="shared" si="15"/>
        <v>9811.2000000000007</v>
      </c>
      <c r="J85" s="36">
        <f t="shared" si="15"/>
        <v>11008.000000000002</v>
      </c>
      <c r="K85" s="36">
        <f t="shared" si="15"/>
        <v>3836.8000000000006</v>
      </c>
      <c r="L85" s="68">
        <f t="shared" si="15"/>
        <v>394956.80000000005</v>
      </c>
      <c r="M85" s="68">
        <f t="shared" si="15"/>
        <v>93804.544000000024</v>
      </c>
      <c r="N85" s="36">
        <f t="shared" si="15"/>
        <v>98739.200000000012</v>
      </c>
      <c r="O85" s="36">
        <f t="shared" si="15"/>
        <v>23451.136000000006</v>
      </c>
    </row>
    <row r="86" spans="2:15">
      <c r="C86" t="s">
        <v>72</v>
      </c>
      <c r="D86" s="36">
        <f t="shared" ref="D86:O86" si="16">D38+D54</f>
        <v>210422.06094507105</v>
      </c>
      <c r="E86" s="36">
        <f t="shared" si="16"/>
        <v>72465.203580000016</v>
      </c>
      <c r="F86" s="68">
        <f t="shared" si="16"/>
        <v>161232.48825661285</v>
      </c>
      <c r="G86" s="68">
        <f t="shared" si="16"/>
        <v>55525.285859999996</v>
      </c>
      <c r="H86" s="36">
        <f t="shared" si="16"/>
        <v>63296</v>
      </c>
      <c r="I86" s="36">
        <f t="shared" si="16"/>
        <v>22061.599999999999</v>
      </c>
      <c r="J86" s="68">
        <f t="shared" si="16"/>
        <v>44031.999999999993</v>
      </c>
      <c r="K86" s="68">
        <f t="shared" si="16"/>
        <v>15347.199999999997</v>
      </c>
      <c r="L86" s="36">
        <f t="shared" si="16"/>
        <v>634090.80000000005</v>
      </c>
      <c r="M86" s="36">
        <f t="shared" si="16"/>
        <v>150600.26400000002</v>
      </c>
      <c r="N86" s="68">
        <f t="shared" si="16"/>
        <v>490610.39999999991</v>
      </c>
      <c r="O86" s="68">
        <f t="shared" si="16"/>
        <v>116522.83199999999</v>
      </c>
    </row>
    <row r="87" spans="2:15">
      <c r="B87" t="s">
        <v>79</v>
      </c>
      <c r="C87" t="s">
        <v>80</v>
      </c>
      <c r="D87" s="68">
        <f t="shared" ref="D87:O87" si="17">D39+D55</f>
        <v>12670.04145005741</v>
      </c>
      <c r="E87" s="68">
        <f t="shared" si="17"/>
        <v>4363.3121400000009</v>
      </c>
      <c r="F87" s="36">
        <f t="shared" si="17"/>
        <v>6459.2368176763248</v>
      </c>
      <c r="G87" s="36">
        <f t="shared" si="17"/>
        <v>2224.4336400000002</v>
      </c>
      <c r="H87" s="68">
        <f t="shared" si="17"/>
        <v>6536.0000000000009</v>
      </c>
      <c r="I87" s="68">
        <f t="shared" si="17"/>
        <v>2278.1000000000004</v>
      </c>
      <c r="J87" s="36">
        <f t="shared" si="17"/>
        <v>3096</v>
      </c>
      <c r="K87" s="36">
        <f t="shared" si="17"/>
        <v>1079.0999999999999</v>
      </c>
      <c r="L87" s="68">
        <f t="shared" si="17"/>
        <v>44741.200000000012</v>
      </c>
      <c r="M87" s="68">
        <f t="shared" si="17"/>
        <v>10626.296000000002</v>
      </c>
      <c r="N87" s="36">
        <f t="shared" si="17"/>
        <v>21599.199999999997</v>
      </c>
      <c r="O87" s="36">
        <f t="shared" si="17"/>
        <v>5129.9359999999997</v>
      </c>
    </row>
    <row r="88" spans="2:15">
      <c r="B88" t="s">
        <v>89</v>
      </c>
      <c r="C88" t="s">
        <v>275</v>
      </c>
      <c r="D88" s="68">
        <f t="shared" ref="D88:O88" si="18">D40+D56</f>
        <v>11924.744894171679</v>
      </c>
      <c r="E88" s="68">
        <f t="shared" si="18"/>
        <v>4106.6467200000006</v>
      </c>
      <c r="F88" s="36">
        <f t="shared" si="18"/>
        <v>5962.3724470858378</v>
      </c>
      <c r="G88" s="36">
        <f t="shared" si="18"/>
        <v>2053.3233599999999</v>
      </c>
      <c r="H88" s="68">
        <f t="shared" si="18"/>
        <v>4128.0000000000009</v>
      </c>
      <c r="I88" s="68">
        <f t="shared" si="18"/>
        <v>1438.8000000000002</v>
      </c>
      <c r="J88" s="36">
        <f t="shared" si="18"/>
        <v>2064</v>
      </c>
      <c r="K88" s="36">
        <f t="shared" si="18"/>
        <v>719.4</v>
      </c>
      <c r="L88" s="68">
        <f t="shared" si="18"/>
        <v>37027.200000000012</v>
      </c>
      <c r="M88" s="68">
        <f t="shared" si="18"/>
        <v>8794.1760000000013</v>
      </c>
      <c r="N88" s="36">
        <f t="shared" si="18"/>
        <v>18513.599999999999</v>
      </c>
      <c r="O88" s="36">
        <f t="shared" si="18"/>
        <v>4397.0879999999997</v>
      </c>
    </row>
    <row r="89" spans="2:15">
      <c r="C89" t="s">
        <v>276</v>
      </c>
      <c r="D89" s="68">
        <f t="shared" ref="D89:O89" si="19">D41+D57</f>
        <v>59623.724470858382</v>
      </c>
      <c r="E89" s="68">
        <f t="shared" si="19"/>
        <v>20533.2336</v>
      </c>
      <c r="F89" s="36">
        <f t="shared" si="19"/>
        <v>24843.218529524325</v>
      </c>
      <c r="G89" s="36">
        <f t="shared" si="19"/>
        <v>8555.514000000001</v>
      </c>
      <c r="H89" s="68">
        <f t="shared" si="19"/>
        <v>20640</v>
      </c>
      <c r="I89" s="68">
        <f t="shared" si="19"/>
        <v>7194</v>
      </c>
      <c r="J89" s="36">
        <f t="shared" si="19"/>
        <v>8600</v>
      </c>
      <c r="K89" s="36">
        <f t="shared" si="19"/>
        <v>2997.5</v>
      </c>
      <c r="L89" s="68">
        <f t="shared" si="19"/>
        <v>185136</v>
      </c>
      <c r="M89" s="68">
        <f t="shared" si="19"/>
        <v>43970.879999999997</v>
      </c>
      <c r="N89" s="36">
        <f t="shared" si="19"/>
        <v>77140</v>
      </c>
      <c r="O89" s="36">
        <f t="shared" si="19"/>
        <v>18321.2</v>
      </c>
    </row>
    <row r="90" spans="2:15">
      <c r="C90" t="s">
        <v>277</v>
      </c>
      <c r="D90" s="68">
        <f t="shared" ref="D90:O90" si="20">D42+D58</f>
        <v>9440.4230412192446</v>
      </c>
      <c r="E90" s="68">
        <f t="shared" si="20"/>
        <v>3251.0953200000008</v>
      </c>
      <c r="F90" s="36">
        <f t="shared" si="20"/>
        <v>4968.6437059048649</v>
      </c>
      <c r="G90" s="36">
        <f t="shared" si="20"/>
        <v>1711.1027999999999</v>
      </c>
      <c r="H90" s="68">
        <f t="shared" si="20"/>
        <v>3439.9999999999995</v>
      </c>
      <c r="I90" s="68">
        <f t="shared" si="20"/>
        <v>1199</v>
      </c>
      <c r="J90" s="36">
        <f t="shared" si="20"/>
        <v>1375.9999999999998</v>
      </c>
      <c r="K90" s="36">
        <f t="shared" si="20"/>
        <v>479.59999999999991</v>
      </c>
      <c r="L90" s="68">
        <f t="shared" si="20"/>
        <v>29313.200000000001</v>
      </c>
      <c r="M90" s="68">
        <f t="shared" si="20"/>
        <v>6962.0560000000005</v>
      </c>
      <c r="N90" s="36">
        <f t="shared" si="20"/>
        <v>15427.999999999998</v>
      </c>
      <c r="O90" s="36">
        <f t="shared" si="20"/>
        <v>3664.24</v>
      </c>
    </row>
    <row r="91" spans="2:15">
      <c r="B91" s="9" t="s">
        <v>75</v>
      </c>
      <c r="C91" s="9" t="s">
        <v>103</v>
      </c>
      <c r="D91" s="36">
        <f t="shared" ref="D91:E93" si="21">D43+D59</f>
        <v>496.86437059048649</v>
      </c>
      <c r="E91" s="36">
        <f t="shared" si="21"/>
        <v>171.11027999999999</v>
      </c>
      <c r="H91" s="36">
        <f t="shared" ref="H91:I93" si="22">H43+H59</f>
        <v>275.19999999999993</v>
      </c>
      <c r="I91" s="36">
        <f t="shared" si="22"/>
        <v>95.919999999999987</v>
      </c>
      <c r="L91" s="36">
        <f t="shared" ref="L91:M93" si="23">L43+L59</f>
        <v>1851.3599999999997</v>
      </c>
      <c r="M91" s="36">
        <f t="shared" si="23"/>
        <v>439.70879999999994</v>
      </c>
    </row>
    <row r="92" spans="2:15">
      <c r="C92" t="s">
        <v>109</v>
      </c>
      <c r="D92" s="36">
        <f t="shared" si="21"/>
        <v>23849.489788343355</v>
      </c>
      <c r="E92" s="36">
        <f t="shared" si="21"/>
        <v>8213.2934400000013</v>
      </c>
      <c r="H92" s="36">
        <f t="shared" si="22"/>
        <v>11007.999999999998</v>
      </c>
      <c r="I92" s="36">
        <f t="shared" si="22"/>
        <v>3836.7999999999993</v>
      </c>
      <c r="L92" s="36">
        <f t="shared" si="23"/>
        <v>83311.199999999983</v>
      </c>
      <c r="M92" s="36">
        <f t="shared" si="23"/>
        <v>19786.895999999997</v>
      </c>
    </row>
    <row r="93" spans="2:15">
      <c r="C93" t="s">
        <v>112</v>
      </c>
      <c r="D93" s="36">
        <f t="shared" si="21"/>
        <v>5589.7241691429726</v>
      </c>
      <c r="E93" s="36">
        <f t="shared" si="21"/>
        <v>1924.9906499999997</v>
      </c>
      <c r="H93" s="36">
        <f t="shared" si="22"/>
        <v>2579.9999999999995</v>
      </c>
      <c r="I93" s="36">
        <f t="shared" si="22"/>
        <v>899.24999999999977</v>
      </c>
      <c r="L93" s="36">
        <f t="shared" si="23"/>
        <v>23141.999999999996</v>
      </c>
      <c r="M93" s="36">
        <f t="shared" si="23"/>
        <v>5496.3599999999988</v>
      </c>
    </row>
    <row r="97" spans="2:15" ht="31.35" customHeight="1">
      <c r="C97" t="s">
        <v>290</v>
      </c>
      <c r="D97" s="95" t="s">
        <v>265</v>
      </c>
      <c r="E97" s="95"/>
      <c r="F97" s="95" t="s">
        <v>266</v>
      </c>
      <c r="G97" s="95"/>
      <c r="H97" s="95" t="s">
        <v>267</v>
      </c>
      <c r="I97" s="95"/>
      <c r="J97" s="95" t="s">
        <v>268</v>
      </c>
      <c r="K97" s="95"/>
      <c r="L97" s="95" t="s">
        <v>296</v>
      </c>
      <c r="M97" s="95"/>
      <c r="N97" s="95" t="s">
        <v>270</v>
      </c>
      <c r="O97" s="95"/>
    </row>
    <row r="98" spans="2:15" ht="39.6">
      <c r="B98" s="44" t="s">
        <v>427</v>
      </c>
      <c r="D98" s="10" t="s">
        <v>299</v>
      </c>
      <c r="E98" s="10" t="s">
        <v>300</v>
      </c>
      <c r="F98" s="10" t="s">
        <v>299</v>
      </c>
      <c r="G98" s="10" t="s">
        <v>300</v>
      </c>
      <c r="H98" s="10" t="s">
        <v>299</v>
      </c>
      <c r="I98" s="10" t="s">
        <v>300</v>
      </c>
      <c r="J98" s="10" t="s">
        <v>299</v>
      </c>
      <c r="K98" s="10" t="s">
        <v>300</v>
      </c>
      <c r="L98" s="10" t="s">
        <v>299</v>
      </c>
      <c r="M98" s="10" t="s">
        <v>300</v>
      </c>
      <c r="N98" s="10" t="s">
        <v>299</v>
      </c>
      <c r="O98" s="10" t="s">
        <v>300</v>
      </c>
    </row>
    <row r="99" spans="2:15">
      <c r="B99" s="9" t="s">
        <v>166</v>
      </c>
      <c r="C99" s="9" t="s">
        <v>271</v>
      </c>
      <c r="D99" s="36">
        <f t="shared" ref="D99:O99" si="24">D83/lamps_irishpub</f>
        <v>40908.49984528339</v>
      </c>
      <c r="E99" s="36">
        <f t="shared" si="24"/>
        <v>14088.079719999998</v>
      </c>
      <c r="F99" s="68">
        <f t="shared" si="24"/>
        <v>33814.380776296995</v>
      </c>
      <c r="G99" s="68">
        <f t="shared" si="24"/>
        <v>11645.005166666666</v>
      </c>
      <c r="H99" s="36">
        <f t="shared" si="24"/>
        <v>19416.888888888891</v>
      </c>
      <c r="I99" s="36">
        <f t="shared" si="24"/>
        <v>6767.6888888888898</v>
      </c>
      <c r="J99" s="68">
        <f t="shared" si="24"/>
        <v>15747.555555555558</v>
      </c>
      <c r="K99" s="68">
        <f t="shared" si="24"/>
        <v>5488.7555555555573</v>
      </c>
      <c r="L99" s="36">
        <f t="shared" si="24"/>
        <v>137480.62222222224</v>
      </c>
      <c r="M99" s="36">
        <f t="shared" si="24"/>
        <v>32652.44977777778</v>
      </c>
      <c r="N99" s="68">
        <f t="shared" si="24"/>
        <v>113995.77777777781</v>
      </c>
      <c r="O99" s="68">
        <f t="shared" si="24"/>
        <v>27074.662222222232</v>
      </c>
    </row>
    <row r="100" spans="2:15">
      <c r="C100" t="s">
        <v>272</v>
      </c>
      <c r="D100" s="68">
        <f t="shared" ref="D100:O100" si="25">D84/lamps_fastfood</f>
        <v>162990.62372177921</v>
      </c>
      <c r="E100" s="68">
        <f t="shared" si="25"/>
        <v>56130.753004615392</v>
      </c>
      <c r="F100" s="36">
        <f t="shared" si="25"/>
        <v>45233.767891833908</v>
      </c>
      <c r="G100" s="36">
        <f t="shared" si="25"/>
        <v>15577.616644615386</v>
      </c>
      <c r="H100" s="68">
        <f t="shared" si="25"/>
        <v>55966.153846153844</v>
      </c>
      <c r="I100" s="68">
        <f t="shared" si="25"/>
        <v>19506.807692307691</v>
      </c>
      <c r="J100" s="36">
        <f t="shared" si="25"/>
        <v>15453.538461538461</v>
      </c>
      <c r="K100" s="36">
        <f t="shared" si="25"/>
        <v>5386.2769230769236</v>
      </c>
      <c r="L100" s="68">
        <f t="shared" si="25"/>
        <v>492983.9384615384</v>
      </c>
      <c r="M100" s="68">
        <f t="shared" si="25"/>
        <v>117086.56123076922</v>
      </c>
      <c r="N100" s="36">
        <f t="shared" si="25"/>
        <v>137546.55384615384</v>
      </c>
      <c r="O100" s="36">
        <f t="shared" si="25"/>
        <v>32668.108923076921</v>
      </c>
    </row>
    <row r="101" spans="2:15">
      <c r="C101" t="s">
        <v>274</v>
      </c>
      <c r="D101" s="68">
        <f t="shared" ref="D101:O101" si="26">D85/lamps_queue</f>
        <v>127197.27887116458</v>
      </c>
      <c r="E101" s="68">
        <f t="shared" si="26"/>
        <v>43804.231680000004</v>
      </c>
      <c r="F101" s="36">
        <f t="shared" si="26"/>
        <v>31799.319717791146</v>
      </c>
      <c r="G101" s="36">
        <f t="shared" si="26"/>
        <v>10951.057920000001</v>
      </c>
      <c r="H101" s="68">
        <f t="shared" si="26"/>
        <v>44032.000000000007</v>
      </c>
      <c r="I101" s="68">
        <f t="shared" si="26"/>
        <v>9811.2000000000007</v>
      </c>
      <c r="J101" s="36">
        <f t="shared" si="26"/>
        <v>11008.000000000002</v>
      </c>
      <c r="K101" s="36">
        <f t="shared" si="26"/>
        <v>3836.8000000000006</v>
      </c>
      <c r="L101" s="68">
        <f t="shared" si="26"/>
        <v>394956.80000000005</v>
      </c>
      <c r="M101" s="68">
        <f t="shared" si="26"/>
        <v>93804.544000000024</v>
      </c>
      <c r="N101" s="36">
        <f t="shared" si="26"/>
        <v>98739.200000000012</v>
      </c>
      <c r="O101" s="36">
        <f t="shared" si="26"/>
        <v>23451.136000000006</v>
      </c>
    </row>
    <row r="102" spans="2:15">
      <c r="C102" t="s">
        <v>72</v>
      </c>
      <c r="D102" s="36">
        <f t="shared" ref="D102:O102" si="27">D86/lamps_restaurant</f>
        <v>30060.294420724436</v>
      </c>
      <c r="E102" s="36">
        <f t="shared" si="27"/>
        <v>10352.171940000002</v>
      </c>
      <c r="F102" s="68">
        <f t="shared" si="27"/>
        <v>23033.21260808755</v>
      </c>
      <c r="G102" s="68">
        <f t="shared" si="27"/>
        <v>7932.1836942857135</v>
      </c>
      <c r="H102" s="36">
        <f t="shared" si="27"/>
        <v>9042.2857142857138</v>
      </c>
      <c r="I102" s="36">
        <f t="shared" si="27"/>
        <v>3151.6571428571428</v>
      </c>
      <c r="J102" s="68">
        <f t="shared" si="27"/>
        <v>6290.2857142857129</v>
      </c>
      <c r="K102" s="68">
        <f t="shared" si="27"/>
        <v>2192.4571428571426</v>
      </c>
      <c r="L102" s="36">
        <f t="shared" si="27"/>
        <v>90584.400000000009</v>
      </c>
      <c r="M102" s="36">
        <f t="shared" si="27"/>
        <v>21514.323428571432</v>
      </c>
      <c r="N102" s="68">
        <f t="shared" si="27"/>
        <v>70087.199999999983</v>
      </c>
      <c r="O102" s="68">
        <f t="shared" si="27"/>
        <v>16646.118857142857</v>
      </c>
    </row>
    <row r="103" spans="2:15">
      <c r="B103" t="s">
        <v>79</v>
      </c>
      <c r="C103" t="s">
        <v>80</v>
      </c>
      <c r="D103" s="68">
        <f t="shared" ref="D103:O103" si="28">D87/lamps_doctorsoffice</f>
        <v>12670.04145005741</v>
      </c>
      <c r="E103" s="68">
        <f t="shared" si="28"/>
        <v>4363.3121400000009</v>
      </c>
      <c r="F103" s="36">
        <f t="shared" si="28"/>
        <v>6459.2368176763248</v>
      </c>
      <c r="G103" s="36">
        <f t="shared" si="28"/>
        <v>2224.4336400000002</v>
      </c>
      <c r="H103" s="68">
        <f t="shared" si="28"/>
        <v>6536.0000000000009</v>
      </c>
      <c r="I103" s="68">
        <f t="shared" si="28"/>
        <v>2278.1000000000004</v>
      </c>
      <c r="J103" s="36">
        <f t="shared" si="28"/>
        <v>3096</v>
      </c>
      <c r="K103" s="36">
        <f t="shared" si="28"/>
        <v>1079.0999999999999</v>
      </c>
      <c r="L103" s="68">
        <f t="shared" si="28"/>
        <v>44741.200000000012</v>
      </c>
      <c r="M103" s="68">
        <f t="shared" si="28"/>
        <v>10626.296000000002</v>
      </c>
      <c r="N103" s="36">
        <f t="shared" si="28"/>
        <v>21599.199999999997</v>
      </c>
      <c r="O103" s="36">
        <f t="shared" si="28"/>
        <v>5129.9359999999997</v>
      </c>
    </row>
    <row r="104" spans="2:15">
      <c r="B104" t="s">
        <v>89</v>
      </c>
      <c r="C104" t="s">
        <v>275</v>
      </c>
      <c r="D104" s="68">
        <f t="shared" ref="D104:O104" si="29">D88/lamps_doctorsoffice</f>
        <v>11924.744894171679</v>
      </c>
      <c r="E104" s="68">
        <f t="shared" si="29"/>
        <v>4106.6467200000006</v>
      </c>
      <c r="F104" s="36">
        <f t="shared" si="29"/>
        <v>5962.3724470858378</v>
      </c>
      <c r="G104" s="36">
        <f t="shared" si="29"/>
        <v>2053.3233599999999</v>
      </c>
      <c r="H104" s="68">
        <f t="shared" si="29"/>
        <v>4128.0000000000009</v>
      </c>
      <c r="I104" s="68">
        <f t="shared" si="29"/>
        <v>1438.8000000000002</v>
      </c>
      <c r="J104" s="36">
        <f t="shared" si="29"/>
        <v>2064</v>
      </c>
      <c r="K104" s="36">
        <f>K88/lamps_doctorsoffice</f>
        <v>719.4</v>
      </c>
      <c r="L104" s="68">
        <f t="shared" si="29"/>
        <v>37027.200000000012</v>
      </c>
      <c r="M104" s="68">
        <f t="shared" si="29"/>
        <v>8794.1760000000013</v>
      </c>
      <c r="N104" s="36">
        <f t="shared" si="29"/>
        <v>18513.599999999999</v>
      </c>
      <c r="O104" s="36">
        <f t="shared" si="29"/>
        <v>4397.0879999999997</v>
      </c>
    </row>
    <row r="105" spans="2:15">
      <c r="C105" t="s">
        <v>276</v>
      </c>
      <c r="D105" s="68">
        <f t="shared" ref="D105:O105" si="30">D89/lamps_doctorsoffice</f>
        <v>59623.724470858382</v>
      </c>
      <c r="E105" s="68">
        <f t="shared" si="30"/>
        <v>20533.2336</v>
      </c>
      <c r="F105" s="36">
        <f t="shared" si="30"/>
        <v>24843.218529524325</v>
      </c>
      <c r="G105" s="36">
        <f t="shared" si="30"/>
        <v>8555.514000000001</v>
      </c>
      <c r="H105" s="68">
        <f t="shared" si="30"/>
        <v>20640</v>
      </c>
      <c r="I105" s="68">
        <f t="shared" si="30"/>
        <v>7194</v>
      </c>
      <c r="J105" s="36">
        <f t="shared" si="30"/>
        <v>8600</v>
      </c>
      <c r="K105" s="36">
        <f t="shared" si="30"/>
        <v>2997.5</v>
      </c>
      <c r="L105" s="68">
        <f t="shared" si="30"/>
        <v>185136</v>
      </c>
      <c r="M105" s="68">
        <f t="shared" si="30"/>
        <v>43970.879999999997</v>
      </c>
      <c r="N105" s="36">
        <f t="shared" si="30"/>
        <v>77140</v>
      </c>
      <c r="O105" s="36">
        <f t="shared" si="30"/>
        <v>18321.2</v>
      </c>
    </row>
    <row r="106" spans="2:15">
      <c r="C106" t="s">
        <v>277</v>
      </c>
      <c r="D106" s="68">
        <f t="shared" ref="D106:O106" si="31">D90/lamps_spitalthun</f>
        <v>1888.0846082438488</v>
      </c>
      <c r="E106" s="68">
        <f t="shared" si="31"/>
        <v>650.21906400000012</v>
      </c>
      <c r="F106" s="36">
        <f t="shared" si="31"/>
        <v>993.72874118097297</v>
      </c>
      <c r="G106" s="36">
        <f t="shared" si="31"/>
        <v>342.22055999999998</v>
      </c>
      <c r="H106" s="68">
        <f t="shared" si="31"/>
        <v>687.99999999999989</v>
      </c>
      <c r="I106" s="68">
        <f t="shared" si="31"/>
        <v>239.8</v>
      </c>
      <c r="J106" s="36">
        <f t="shared" si="31"/>
        <v>275.19999999999993</v>
      </c>
      <c r="K106" s="36">
        <f t="shared" si="31"/>
        <v>95.919999999999987</v>
      </c>
      <c r="L106" s="68">
        <f t="shared" si="31"/>
        <v>5862.64</v>
      </c>
      <c r="M106" s="68">
        <f t="shared" si="31"/>
        <v>1392.4112</v>
      </c>
      <c r="N106" s="36">
        <f t="shared" si="31"/>
        <v>3085.5999999999995</v>
      </c>
      <c r="O106" s="36">
        <f t="shared" si="31"/>
        <v>732.84799999999996</v>
      </c>
    </row>
    <row r="107" spans="2:15">
      <c r="B107" s="9" t="s">
        <v>75</v>
      </c>
      <c r="C107" s="9" t="s">
        <v>103</v>
      </c>
      <c r="D107" s="36">
        <f>D91/lamps_office17</f>
        <v>496.86437059048649</v>
      </c>
      <c r="E107" s="36">
        <f>E91/lamps_office17</f>
        <v>171.11027999999999</v>
      </c>
      <c r="H107" s="36">
        <f>H91/lamps_office17</f>
        <v>275.19999999999993</v>
      </c>
      <c r="I107" s="36">
        <f>I91/lamps_office17</f>
        <v>95.919999999999987</v>
      </c>
      <c r="L107" s="36">
        <f>L91/lamps_office17</f>
        <v>1851.3599999999997</v>
      </c>
      <c r="M107" s="36">
        <f>M91/lamps_office17</f>
        <v>439.70879999999994</v>
      </c>
    </row>
    <row r="108" spans="2:15">
      <c r="C108" t="s">
        <v>109</v>
      </c>
      <c r="D108" s="36">
        <f>D92/lamps_office08</f>
        <v>2981.1862235429194</v>
      </c>
      <c r="E108" s="36">
        <f>E92/lamps_office08</f>
        <v>1026.6616800000002</v>
      </c>
      <c r="H108" s="36">
        <f>H92/lamps_office08</f>
        <v>1375.9999999999998</v>
      </c>
      <c r="I108" s="36">
        <f>I92/lamps_office08</f>
        <v>479.59999999999991</v>
      </c>
      <c r="L108" s="36">
        <f>L92/lamps_office08</f>
        <v>10413.899999999998</v>
      </c>
      <c r="M108" s="36">
        <f>M92/lamps_office08</f>
        <v>2473.3619999999996</v>
      </c>
    </row>
    <row r="109" spans="2:15">
      <c r="C109" t="s">
        <v>112</v>
      </c>
      <c r="D109" s="36">
        <f>D93/lamps_office16</f>
        <v>1863.2413897143242</v>
      </c>
      <c r="E109" s="36">
        <f>E93/lamps_office16</f>
        <v>641.66354999999987</v>
      </c>
      <c r="H109" s="36">
        <f>H93/lamps_office16</f>
        <v>859.99999999999989</v>
      </c>
      <c r="I109" s="36">
        <f>I93/lamps_office16</f>
        <v>299.74999999999994</v>
      </c>
      <c r="L109" s="36">
        <f>L93/lamps_office16</f>
        <v>7713.9999999999991</v>
      </c>
      <c r="M109" s="36">
        <f>M93/lamps_office16</f>
        <v>1832.1199999999997</v>
      </c>
    </row>
    <row r="113" spans="2:15" ht="32.549999999999997" customHeight="1">
      <c r="C113" t="s">
        <v>290</v>
      </c>
      <c r="D113" s="95" t="s">
        <v>265</v>
      </c>
      <c r="E113" s="95"/>
      <c r="F113" s="95" t="s">
        <v>266</v>
      </c>
      <c r="G113" s="95"/>
      <c r="H113" s="95" t="s">
        <v>267</v>
      </c>
      <c r="I113" s="95"/>
      <c r="J113" s="95" t="s">
        <v>268</v>
      </c>
      <c r="K113" s="95"/>
      <c r="L113" s="95" t="s">
        <v>296</v>
      </c>
      <c r="M113" s="95"/>
      <c r="N113" s="95" t="s">
        <v>270</v>
      </c>
      <c r="O113" s="95"/>
    </row>
    <row r="114" spans="2:15" ht="39.6">
      <c r="B114" s="44" t="s">
        <v>428</v>
      </c>
      <c r="D114" s="10" t="s">
        <v>299</v>
      </c>
      <c r="E114" s="10" t="s">
        <v>300</v>
      </c>
      <c r="F114" s="10" t="s">
        <v>299</v>
      </c>
      <c r="G114" s="10" t="s">
        <v>300</v>
      </c>
      <c r="H114" s="10" t="s">
        <v>299</v>
      </c>
      <c r="I114" s="10" t="s">
        <v>300</v>
      </c>
      <c r="J114" s="10" t="s">
        <v>299</v>
      </c>
      <c r="K114" s="10" t="s">
        <v>300</v>
      </c>
      <c r="L114" s="10" t="s">
        <v>299</v>
      </c>
      <c r="M114" s="10" t="s">
        <v>300</v>
      </c>
      <c r="N114" s="10" t="s">
        <v>299</v>
      </c>
      <c r="O114" s="10" t="s">
        <v>300</v>
      </c>
    </row>
    <row r="115" spans="2:15">
      <c r="B115" s="9" t="s">
        <v>166</v>
      </c>
      <c r="C115" s="9" t="s">
        <v>271</v>
      </c>
      <c r="D115" s="36">
        <f>D99/(costs_3h6d*exchange_CHF_USD)</f>
        <v>247.35227131575979</v>
      </c>
      <c r="E115" s="36">
        <f>E99/(costs_3h6d*exchange_EUR_USD)</f>
        <v>83.351341333691522</v>
      </c>
      <c r="F115" s="68">
        <f>F99/(costs_3h6d*exchange_CHF_USD)</f>
        <v>204.45784909703491</v>
      </c>
      <c r="G115" s="68">
        <f>G99/(costs_3h6d*exchange_EUR_USD)</f>
        <v>68.897026406054067</v>
      </c>
      <c r="H115" s="36">
        <f>H99/(costs_3h6d*exchange_CHF_USD)</f>
        <v>117.40375684067413</v>
      </c>
      <c r="I115" s="36">
        <f>I99/(costs_3h6d*exchange_EUR_USD)</f>
        <v>40.040655492401591</v>
      </c>
      <c r="J115" s="68">
        <f>J99/(costs_3h6d*exchange_CHF_USD)</f>
        <v>95.217220114877463</v>
      </c>
      <c r="K115" s="68">
        <f>K99/(costs_3h6d*exchange_EUR_USD)</f>
        <v>32.473917446593425</v>
      </c>
      <c r="L115" s="36">
        <f>L99/(costs_3h6d*exchange_CHF_USD)</f>
        <v>831.27331232341396</v>
      </c>
      <c r="M115" s="36">
        <f>M99/(costs_3h6d*exchange_EUR_USD)</f>
        <v>193.18640587652609</v>
      </c>
      <c r="N115" s="68">
        <f>N99/(costs_3h6d*exchange_CHF_USD)</f>
        <v>689.27275897140942</v>
      </c>
      <c r="O115" s="68">
        <f>O99/(costs_3h6d*exchange_EUR_USD)</f>
        <v>160.18573554599737</v>
      </c>
    </row>
    <row r="116" spans="2:15">
      <c r="C116" t="s">
        <v>272</v>
      </c>
      <c r="D116" s="68">
        <f>D100/(costs_8h7d*exchange_CHF_USD)</f>
        <v>965.96808728275721</v>
      </c>
      <c r="E116" s="68">
        <f>E100/(costs_8h7d*exchange_EUR_USD)</f>
        <v>325.50635307397852</v>
      </c>
      <c r="F116" s="36">
        <f>F100/(costs_8h7d*exchange_CHF_USD)</f>
        <v>268.07907874291084</v>
      </c>
      <c r="G116" s="36">
        <f>G100/(costs_8h7d*exchange_EUR_USD)</f>
        <v>90.335741320917705</v>
      </c>
      <c r="H116" s="68">
        <f>H100/(costs_8h7d*exchange_CHF_USD)</f>
        <v>331.68483774639316</v>
      </c>
      <c r="I116" s="68">
        <f>I100/(costs_8h7d*exchange_EUR_USD)</f>
        <v>113.12140835731186</v>
      </c>
      <c r="J116" s="36">
        <f>J100/(costs_8h7d*exchange_CHF_USD)</f>
        <v>91.585789713424873</v>
      </c>
      <c r="K116" s="36">
        <f>K100/(costs_8h7d*exchange_EUR_USD)</f>
        <v>31.235414884477606</v>
      </c>
      <c r="L116" s="68">
        <f>L100/(costs_8h7d*exchange_CHF_USD)</f>
        <v>2921.6818809754691</v>
      </c>
      <c r="M116" s="68">
        <f>M100/(costs_8h7d*exchange_EUR_USD)</f>
        <v>678.99355522750511</v>
      </c>
      <c r="N116" s="36">
        <f>N100/(costs_8h7d*exchange_CHF_USD)</f>
        <v>815.17315841371419</v>
      </c>
      <c r="O116" s="36">
        <f>O100/(costs_8h7d*exchange_EUR_USD)</f>
        <v>189.44475939063034</v>
      </c>
    </row>
    <row r="117" spans="2:15">
      <c r="C117" t="s">
        <v>274</v>
      </c>
      <c r="D117" s="68">
        <f>D101/(costs_8h7d*exchange_CHF_USD)</f>
        <v>753.83791639747142</v>
      </c>
      <c r="E117" s="68">
        <f>E101/(costs_8h7d*exchange_EUR_USD)</f>
        <v>254.02395193579562</v>
      </c>
      <c r="F117" s="36">
        <f>F101/(costs_8h7d*exchange_CHF_USD)</f>
        <v>188.45947909936785</v>
      </c>
      <c r="G117" s="36">
        <f>G101/(costs_8h7d*exchange_EUR_USD)</f>
        <v>63.505987983948906</v>
      </c>
      <c r="H117" s="68">
        <f>H101/(costs_8h7d*exchange_CHF_USD)</f>
        <v>260.95677069030654</v>
      </c>
      <c r="I117" s="68">
        <f>I101/(costs_8h7d*exchange_EUR_USD)</f>
        <v>56.895868313343698</v>
      </c>
      <c r="J117" s="36">
        <f>J101/(costs_8h7d*exchange_CHF_USD)</f>
        <v>65.239192672576635</v>
      </c>
      <c r="K117" s="36">
        <f>K101/(costs_8h7d*exchange_EUR_USD)</f>
        <v>22.249884575244323</v>
      </c>
      <c r="L117" s="68">
        <f>L101/(costs_8h7d*exchange_CHF_USD)</f>
        <v>2340.721545470959</v>
      </c>
      <c r="M117" s="68">
        <f>M101/(costs_8h7d*exchange_EUR_USD)</f>
        <v>543.97942989820365</v>
      </c>
      <c r="N117" s="36">
        <f>N101/(costs_8h7d*exchange_CHF_USD)</f>
        <v>585.18038636773974</v>
      </c>
      <c r="O117" s="36">
        <f>O101/(costs_8h7d*exchange_EUR_USD)</f>
        <v>135.99485747455091</v>
      </c>
    </row>
    <row r="118" spans="2:15">
      <c r="C118" t="s">
        <v>72</v>
      </c>
      <c r="D118" s="36">
        <f>D102/(costs_4h6d*exchange_CHF_USD)</f>
        <v>181.17985298757733</v>
      </c>
      <c r="E118" s="36">
        <f>E102/(costs_4h6d*exchange_EUR_USD)</f>
        <v>61.052941575286944</v>
      </c>
      <c r="F118" s="68">
        <f>F102/(costs_4h6d*exchange_CHF_USD)</f>
        <v>138.82612112035142</v>
      </c>
      <c r="G118" s="68">
        <f>G102/(costs_4h6d*exchange_EUR_USD)</f>
        <v>46.78082536288219</v>
      </c>
      <c r="H118" s="36">
        <f>H102/(costs_4h6d*exchange_CHF_USD)</f>
        <v>54.499798753018155</v>
      </c>
      <c r="I118" s="36">
        <f>I102/(costs_4h6d*exchange_EUR_USD)</f>
        <v>18.587204745383403</v>
      </c>
      <c r="J118" s="68">
        <f>J102/(costs_4h6d*exchange_CHF_USD)</f>
        <v>37.912903480360448</v>
      </c>
      <c r="K118" s="68">
        <f>K102/(costs_4h6d*exchange_EUR_USD)</f>
        <v>12.930229388092799</v>
      </c>
      <c r="L118" s="36">
        <f>L102/(costs_4h6d*exchange_CHF_USD)</f>
        <v>545.9716410379848</v>
      </c>
      <c r="M118" s="36">
        <f>M102/(costs_4h6d*exchange_EUR_USD)</f>
        <v>126.88281637219393</v>
      </c>
      <c r="N118" s="68">
        <f>N102/(costs_4h6d*exchange_CHF_USD)</f>
        <v>422.43061277391513</v>
      </c>
      <c r="O118" s="68">
        <f>O102/(costs_4h6d*exchange_EUR_USD)</f>
        <v>98.172106098193822</v>
      </c>
    </row>
    <row r="119" spans="2:15">
      <c r="B119" t="s">
        <v>79</v>
      </c>
      <c r="C119" t="s">
        <v>80</v>
      </c>
      <c r="D119" s="68">
        <f>D103/(costs_8h5d*exchange_CHF_USD)</f>
        <v>75.721819921415758</v>
      </c>
      <c r="E119" s="68">
        <f>E103/(costs_8h5d*exchange_EUR_USD)</f>
        <v>25.516302013743083</v>
      </c>
      <c r="F119" s="36">
        <f>F103/(costs_8h5d*exchange_CHF_USD)</f>
        <v>38.603280744251158</v>
      </c>
      <c r="G119" s="36">
        <f>G103/(costs_8h5d*exchange_EUR_USD)</f>
        <v>13.008310830535688</v>
      </c>
      <c r="H119" s="68">
        <f>H103/(costs_8h5d*exchange_CHF_USD)</f>
        <v>39.062051766541842</v>
      </c>
      <c r="I119" s="68">
        <f>I103/(costs_8h5d*exchange_EUR_USD)</f>
        <v>13.322147431219101</v>
      </c>
      <c r="J119" s="36">
        <f>J103/(costs_8h5d*exchange_CHF_USD)</f>
        <v>18.503077152572452</v>
      </c>
      <c r="K119" s="36">
        <f>K103/(costs_8h5d*exchange_EUR_USD)</f>
        <v>6.310490888472204</v>
      </c>
      <c r="L119" s="68">
        <f>L103/(costs_8h5d*exchange_CHF_USD)</f>
        <v>267.39337063910682</v>
      </c>
      <c r="M119" s="68">
        <f>M103/(costs_8h5d*exchange_EUR_USD)</f>
        <v>62.14173300547553</v>
      </c>
      <c r="N119" s="36">
        <f>N103/(costs_8h5d*exchange_CHF_USD)</f>
        <v>129.08645479129291</v>
      </c>
      <c r="O119" s="36">
        <f>O103/(costs_8h5d*exchange_EUR_USD)</f>
        <v>29.999457312988181</v>
      </c>
    </row>
    <row r="120" spans="2:15">
      <c r="B120" t="s">
        <v>89</v>
      </c>
      <c r="C120" t="s">
        <v>275</v>
      </c>
      <c r="D120" s="68">
        <f>D104/(costs_8h5d*exchange_CHF_USD)</f>
        <v>71.267595220155997</v>
      </c>
      <c r="E120" s="68">
        <f>E104/(costs_8h5d*exchange_EUR_USD)</f>
        <v>24.015343071758195</v>
      </c>
      <c r="F120" s="36">
        <f>F104/(costs_8h5d*exchange_CHF_USD)</f>
        <v>35.633797610077991</v>
      </c>
      <c r="G120" s="36">
        <f>G104/(costs_8h5d*exchange_EUR_USD)</f>
        <v>12.007671535879094</v>
      </c>
      <c r="H120" s="68">
        <f>H104/(costs_8h5d*exchange_CHF_USD)</f>
        <v>24.670769536763274</v>
      </c>
      <c r="I120" s="68">
        <f>I104/(costs_8h5d*exchange_EUR_USD)</f>
        <v>8.4139878512962731</v>
      </c>
      <c r="J120" s="36">
        <f>J104/(costs_8h5d*exchange_CHF_USD)</f>
        <v>12.335384768381633</v>
      </c>
      <c r="K120" s="36">
        <f>K104/(costs_8h5d*exchange_EUR_USD)</f>
        <v>4.2069939256481357</v>
      </c>
      <c r="L120" s="68">
        <f>L104/(costs_8h5d*exchange_CHF_USD)</f>
        <v>221.2910653565022</v>
      </c>
      <c r="M120" s="68">
        <f>M104/(costs_8h5d*exchange_EUR_USD)</f>
        <v>51.427641107979746</v>
      </c>
      <c r="N120" s="36">
        <f>N104/(costs_8h5d*exchange_CHF_USD)</f>
        <v>110.64553267825106</v>
      </c>
      <c r="O120" s="36">
        <f>O104/(costs_8h5d*exchange_EUR_USD)</f>
        <v>25.713820553989869</v>
      </c>
    </row>
    <row r="121" spans="2:15">
      <c r="C121" t="s">
        <v>276</v>
      </c>
      <c r="D121" s="68">
        <f>D105/(costs_8h5d*exchange_CHF_USD)</f>
        <v>356.33797610077994</v>
      </c>
      <c r="E121" s="68">
        <f>E105/(costs_8h5d*exchange_EUR_USD)</f>
        <v>120.07671535879095</v>
      </c>
      <c r="F121" s="36">
        <f>F105/(costs_8h5d*exchange_CHF_USD)</f>
        <v>148.47415670865828</v>
      </c>
      <c r="G121" s="36">
        <f>G105/(costs_8h5d*exchange_EUR_USD)</f>
        <v>50.031964732829572</v>
      </c>
      <c r="H121" s="68">
        <f>H105/(costs_8h5d*exchange_CHF_USD)</f>
        <v>123.35384768381634</v>
      </c>
      <c r="I121" s="68">
        <f>I105/(costs_8h5d*exchange_EUR_USD)</f>
        <v>42.069939256481362</v>
      </c>
      <c r="J121" s="36">
        <f>J105/(costs_8h5d*exchange_CHF_USD)</f>
        <v>51.397436534923472</v>
      </c>
      <c r="K121" s="36">
        <f>K105/(costs_8h5d*exchange_EUR_USD)</f>
        <v>17.529141356867235</v>
      </c>
      <c r="L121" s="68">
        <f>L105/(costs_8h5d*exchange_CHF_USD)</f>
        <v>1106.4553267825106</v>
      </c>
      <c r="M121" s="68">
        <f>M105/(costs_8h5d*exchange_EUR_USD)</f>
        <v>257.13820553989865</v>
      </c>
      <c r="N121" s="36">
        <f>N105/(costs_8h5d*exchange_CHF_USD)</f>
        <v>461.02305282604613</v>
      </c>
      <c r="O121" s="36">
        <f>O105/(costs_8h5d*exchange_EUR_USD)</f>
        <v>107.1409189749578</v>
      </c>
    </row>
    <row r="122" spans="2:15">
      <c r="C122" t="s">
        <v>277</v>
      </c>
      <c r="D122" s="68">
        <f>D106/(costs_8h7d*exchange_CHF_USD)</f>
        <v>11.189781571524964</v>
      </c>
      <c r="E122" s="68">
        <f>E106/(costs_8h7d*exchange_EUR_USD)</f>
        <v>3.7706680365469669</v>
      </c>
      <c r="F122" s="36">
        <f>F106/(costs_8h7d*exchange_CHF_USD)</f>
        <v>5.8893587218552437</v>
      </c>
      <c r="G122" s="36">
        <f>G106/(costs_8h7d*exchange_EUR_USD)</f>
        <v>1.9845621244984031</v>
      </c>
      <c r="H122" s="68">
        <f>H106/(costs_8h7d*exchange_CHF_USD)</f>
        <v>4.0774495420360379</v>
      </c>
      <c r="I122" s="80">
        <f>I106/(costs_8h7d*exchange_EUR_USD)</f>
        <v>1.39061778595277</v>
      </c>
      <c r="J122" s="81">
        <f>J106/(costs_8h7d*exchange_CHF_USD)</f>
        <v>1.6309798168144152</v>
      </c>
      <c r="K122" s="82">
        <f>K106/(costs_8h7d*exchange_EUR_USD)</f>
        <v>0.55624711438110797</v>
      </c>
      <c r="L122" s="68">
        <f>L106/(costs_8h7d*exchange_CHF_USD)</f>
        <v>34.745085440584539</v>
      </c>
      <c r="M122" s="68">
        <f>M106/(costs_8h7d*exchange_EUR_USD)</f>
        <v>8.0746946625514582</v>
      </c>
      <c r="N122" s="36">
        <f>N106/(costs_8h7d*exchange_CHF_USD)</f>
        <v>18.28688707399186</v>
      </c>
      <c r="O122" s="36">
        <f>O106/(costs_8h7d*exchange_EUR_USD)</f>
        <v>4.2498392960797142</v>
      </c>
    </row>
    <row r="123" spans="2:15">
      <c r="B123" s="9" t="s">
        <v>75</v>
      </c>
      <c r="C123" s="9" t="s">
        <v>103</v>
      </c>
      <c r="D123" s="36">
        <f>D107/(costs_8h5d*exchange_CHF_USD)</f>
        <v>2.9694831341731658</v>
      </c>
      <c r="E123" s="84">
        <f>E107/(costs_8h5d*exchange_EUR_USD)</f>
        <v>1.0006392946565912</v>
      </c>
      <c r="H123" s="81">
        <f>H107/(costs_8h5d*exchange_CHF_USD)</f>
        <v>1.6447179691175506</v>
      </c>
      <c r="I123" s="81">
        <f>I107/(costs_8h5d*exchange_EUR_USD)</f>
        <v>0.56093252341975142</v>
      </c>
      <c r="L123" s="36">
        <f>L107/(costs_8h5d*exchange_CHF_USD)</f>
        <v>11.064553267825104</v>
      </c>
      <c r="M123" s="36">
        <f>M107/(costs_8h5d*exchange_EUR_USD)</f>
        <v>2.5713820553989866</v>
      </c>
    </row>
    <row r="124" spans="2:15">
      <c r="C124" t="s">
        <v>109</v>
      </c>
      <c r="D124" s="36">
        <f>D108/(costs_8h5d*exchange_CHF_USD)</f>
        <v>17.816898805038999</v>
      </c>
      <c r="E124" s="36">
        <f>E108/(costs_8h5d*exchange_EUR_USD)</f>
        <v>6.0038357679395489</v>
      </c>
      <c r="H124" s="36">
        <f>H108/(costs_8h5d*exchange_CHF_USD)</f>
        <v>8.223589845587755</v>
      </c>
      <c r="I124" s="36">
        <f>I108/(costs_8h5d*exchange_EUR_USD)</f>
        <v>2.804662617098757</v>
      </c>
      <c r="L124" s="36">
        <f>L108/(costs_8h5d*exchange_CHF_USD)</f>
        <v>62.238112131516218</v>
      </c>
      <c r="M124" s="36">
        <f>M108/(costs_8h5d*exchange_EUR_USD)</f>
        <v>14.4640240616193</v>
      </c>
    </row>
    <row r="125" spans="2:15">
      <c r="C125" t="s">
        <v>112</v>
      </c>
      <c r="D125" s="36">
        <f>D109/(costs_8h5d*exchange_CHF_USD)</f>
        <v>11.135561753149371</v>
      </c>
      <c r="E125" s="36">
        <f>E109/(costs_8h5d*exchange_EUR_USD)</f>
        <v>3.7523973549622167</v>
      </c>
      <c r="H125" s="36">
        <f>H109/(costs_8h5d*exchange_CHF_USD)</f>
        <v>5.1397436534923466</v>
      </c>
      <c r="I125" s="36">
        <f>I109/(costs_8h5d*exchange_EUR_USD)</f>
        <v>1.7529141356867231</v>
      </c>
      <c r="L125" s="36">
        <f>L109/(costs_8h5d*exchange_CHF_USD)</f>
        <v>46.102305282604604</v>
      </c>
      <c r="M125" s="36">
        <f>M109/(costs_8h5d*exchange_EUR_USD)</f>
        <v>10.714091897495777</v>
      </c>
    </row>
    <row r="128" spans="2:15" ht="28.35" customHeight="1">
      <c r="C128" t="s">
        <v>290</v>
      </c>
      <c r="D128" s="95" t="s">
        <v>265</v>
      </c>
      <c r="E128" s="95"/>
      <c r="F128" s="95" t="s">
        <v>266</v>
      </c>
      <c r="G128" s="95"/>
      <c r="H128" s="95" t="s">
        <v>267</v>
      </c>
      <c r="I128" s="95"/>
      <c r="J128" s="95" t="s">
        <v>268</v>
      </c>
      <c r="K128" s="95"/>
      <c r="L128" s="95" t="s">
        <v>296</v>
      </c>
      <c r="M128" s="95"/>
      <c r="N128" s="95" t="s">
        <v>270</v>
      </c>
      <c r="O128" s="95"/>
    </row>
    <row r="129" spans="2:15">
      <c r="B129" s="44" t="s">
        <v>303</v>
      </c>
      <c r="D129" s="10" t="s">
        <v>304</v>
      </c>
      <c r="E129" s="10" t="s">
        <v>300</v>
      </c>
      <c r="F129" s="10" t="s">
        <v>299</v>
      </c>
      <c r="G129" s="10" t="s">
        <v>300</v>
      </c>
      <c r="H129" s="10" t="s">
        <v>299</v>
      </c>
      <c r="I129" s="10" t="s">
        <v>300</v>
      </c>
      <c r="J129" s="10" t="s">
        <v>299</v>
      </c>
      <c r="K129" s="10" t="s">
        <v>300</v>
      </c>
      <c r="L129" s="10" t="s">
        <v>299</v>
      </c>
      <c r="M129" s="10" t="s">
        <v>300</v>
      </c>
      <c r="N129" s="10" t="s">
        <v>299</v>
      </c>
      <c r="O129" s="10" t="s">
        <v>300</v>
      </c>
    </row>
    <row r="130" spans="2:15">
      <c r="B130" s="9" t="s">
        <v>166</v>
      </c>
      <c r="C130" s="9" t="s">
        <v>271</v>
      </c>
      <c r="D130" s="49">
        <f>(lamps_irishpub*costs_8h7d-Scenarios!D3/430*Scenarios!L3*700/4)</f>
        <v>282.10926856685523</v>
      </c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</row>
    <row r="131" spans="2:15">
      <c r="C131" t="s">
        <v>272</v>
      </c>
      <c r="D131" s="36"/>
      <c r="E131" s="36" t="s">
        <v>305</v>
      </c>
      <c r="F131" s="36"/>
      <c r="G131" s="36"/>
      <c r="H131" s="36"/>
      <c r="I131" s="36"/>
      <c r="J131" s="36"/>
      <c r="K131" s="36"/>
      <c r="L131" s="36"/>
      <c r="M131" s="36"/>
      <c r="N131" s="36"/>
      <c r="O131" s="36"/>
    </row>
    <row r="132" spans="2:15">
      <c r="C132" t="s">
        <v>274</v>
      </c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</row>
    <row r="133" spans="2:15">
      <c r="C133" t="s">
        <v>72</v>
      </c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</row>
    <row r="134" spans="2:15">
      <c r="B134" t="s">
        <v>79</v>
      </c>
      <c r="C134" t="s">
        <v>80</v>
      </c>
      <c r="D134" s="49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</row>
    <row r="135" spans="2:15">
      <c r="B135" t="s">
        <v>89</v>
      </c>
      <c r="C135" t="s">
        <v>275</v>
      </c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</row>
    <row r="136" spans="2:15">
      <c r="C136" t="s">
        <v>276</v>
      </c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</row>
    <row r="137" spans="2:15">
      <c r="C137" t="s">
        <v>277</v>
      </c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</row>
    <row r="138" spans="2:15">
      <c r="B138" s="9" t="s">
        <v>75</v>
      </c>
      <c r="C138" s="9" t="s">
        <v>103</v>
      </c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</row>
    <row r="139" spans="2:15">
      <c r="C139" t="s">
        <v>109</v>
      </c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</row>
    <row r="140" spans="2:15">
      <c r="C140" t="s">
        <v>112</v>
      </c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</row>
    <row r="143" spans="2:15">
      <c r="B143" s="57" t="s">
        <v>306</v>
      </c>
      <c r="C143" s="56"/>
    </row>
    <row r="144" spans="2:15">
      <c r="B144" s="9" t="s">
        <v>166</v>
      </c>
      <c r="C144" s="9" t="s">
        <v>271</v>
      </c>
      <c r="D144" s="51">
        <f t="shared" ref="D144:D154" si="32">1/(D115/D83)</f>
        <v>1488.4702560000003</v>
      </c>
    </row>
    <row r="145" spans="2:4">
      <c r="C145" t="s">
        <v>272</v>
      </c>
      <c r="D145" s="51">
        <f t="shared" si="32"/>
        <v>2193.5280640000005</v>
      </c>
    </row>
    <row r="146" spans="2:4">
      <c r="C146" t="s">
        <v>274</v>
      </c>
      <c r="D146" s="51">
        <f t="shared" si="32"/>
        <v>168.73292800000004</v>
      </c>
    </row>
    <row r="147" spans="2:4">
      <c r="C147" t="s">
        <v>72</v>
      </c>
      <c r="D147" s="51">
        <f t="shared" si="32"/>
        <v>1161.3987839999998</v>
      </c>
    </row>
    <row r="148" spans="2:4">
      <c r="B148" t="s">
        <v>79</v>
      </c>
      <c r="C148" t="s">
        <v>80</v>
      </c>
      <c r="D148" s="51">
        <f t="shared" si="32"/>
        <v>167.32352</v>
      </c>
    </row>
    <row r="149" spans="2:4">
      <c r="B149" t="s">
        <v>89</v>
      </c>
      <c r="C149" t="s">
        <v>275</v>
      </c>
      <c r="D149" s="51">
        <f t="shared" si="32"/>
        <v>167.32352000000003</v>
      </c>
    </row>
    <row r="150" spans="2:4">
      <c r="C150" t="s">
        <v>276</v>
      </c>
      <c r="D150" s="51">
        <f t="shared" si="32"/>
        <v>167.32352</v>
      </c>
    </row>
    <row r="151" spans="2:4">
      <c r="C151" t="s">
        <v>277</v>
      </c>
      <c r="D151" s="51">
        <f t="shared" si="32"/>
        <v>843.66464000000008</v>
      </c>
    </row>
    <row r="152" spans="2:4">
      <c r="B152" s="9" t="s">
        <v>75</v>
      </c>
      <c r="C152" s="9" t="s">
        <v>103</v>
      </c>
      <c r="D152" s="51">
        <f t="shared" si="32"/>
        <v>167.32352000000003</v>
      </c>
    </row>
    <row r="153" spans="2:4">
      <c r="C153" t="s">
        <v>109</v>
      </c>
      <c r="D153" s="51">
        <f t="shared" si="32"/>
        <v>1338.58816</v>
      </c>
    </row>
    <row r="154" spans="2:4">
      <c r="C154" t="s">
        <v>112</v>
      </c>
      <c r="D154" s="51">
        <f t="shared" si="32"/>
        <v>501.97056000000009</v>
      </c>
    </row>
  </sheetData>
  <mergeCells count="46">
    <mergeCell ref="D4:I4"/>
    <mergeCell ref="D21:E21"/>
    <mergeCell ref="F21:H21"/>
    <mergeCell ref="I21:L21"/>
    <mergeCell ref="D33:E33"/>
    <mergeCell ref="F33:G33"/>
    <mergeCell ref="H33:I33"/>
    <mergeCell ref="J33:K33"/>
    <mergeCell ref="L33:M33"/>
    <mergeCell ref="N65:O65"/>
    <mergeCell ref="N33:O33"/>
    <mergeCell ref="D49:E49"/>
    <mergeCell ref="F49:G49"/>
    <mergeCell ref="H49:I49"/>
    <mergeCell ref="J49:K49"/>
    <mergeCell ref="L49:M49"/>
    <mergeCell ref="N49:O49"/>
    <mergeCell ref="D65:E65"/>
    <mergeCell ref="F65:G65"/>
    <mergeCell ref="H65:I65"/>
    <mergeCell ref="J65:K65"/>
    <mergeCell ref="L65:M65"/>
    <mergeCell ref="N97:O97"/>
    <mergeCell ref="D81:E81"/>
    <mergeCell ref="F81:G81"/>
    <mergeCell ref="H81:I81"/>
    <mergeCell ref="J81:K81"/>
    <mergeCell ref="L81:M81"/>
    <mergeCell ref="N81:O81"/>
    <mergeCell ref="D97:E97"/>
    <mergeCell ref="F97:G97"/>
    <mergeCell ref="H97:I97"/>
    <mergeCell ref="J97:K97"/>
    <mergeCell ref="L97:M97"/>
    <mergeCell ref="N128:O128"/>
    <mergeCell ref="D113:E113"/>
    <mergeCell ref="F113:G113"/>
    <mergeCell ref="H113:I113"/>
    <mergeCell ref="J113:K113"/>
    <mergeCell ref="L113:M113"/>
    <mergeCell ref="N113:O113"/>
    <mergeCell ref="D128:E128"/>
    <mergeCell ref="F128:G128"/>
    <mergeCell ref="H128:I128"/>
    <mergeCell ref="J128:K128"/>
    <mergeCell ref="L128:M12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R28"/>
  <sheetViews>
    <sheetView workbookViewId="0">
      <selection activeCell="N22" sqref="N22"/>
    </sheetView>
  </sheetViews>
  <sheetFormatPr defaultRowHeight="14.4"/>
  <cols>
    <col min="1" max="1" width="7" customWidth="1"/>
    <col min="2" max="2" width="29.5546875" customWidth="1"/>
    <col min="3" max="3" width="16.44140625" customWidth="1"/>
    <col min="4" max="4" width="12.77734375" bestFit="1" customWidth="1"/>
    <col min="5" max="5" width="13.77734375" customWidth="1"/>
    <col min="7" max="7" width="17.44140625" customWidth="1"/>
    <col min="8" max="8" width="19.21875" bestFit="1" customWidth="1"/>
    <col min="9" max="9" width="19.77734375" customWidth="1"/>
    <col min="10" max="10" width="21.44140625" bestFit="1" customWidth="1"/>
    <col min="11" max="11" width="14.77734375" bestFit="1" customWidth="1"/>
    <col min="12" max="12" width="19.77734375" bestFit="1" customWidth="1"/>
    <col min="13" max="13" width="11.21875" customWidth="1"/>
    <col min="14" max="14" width="15.21875" customWidth="1"/>
    <col min="15" max="15" width="12.21875" bestFit="1" customWidth="1"/>
    <col min="16" max="16" width="18.5546875" bestFit="1" customWidth="1"/>
    <col min="18" max="18" width="15.21875" bestFit="1" customWidth="1"/>
  </cols>
  <sheetData>
    <row r="1" spans="2:18">
      <c r="G1" s="90" t="s">
        <v>499</v>
      </c>
      <c r="H1" s="91"/>
      <c r="I1" s="91"/>
      <c r="J1" s="92"/>
      <c r="K1" s="90" t="s">
        <v>497</v>
      </c>
      <c r="L1" s="91"/>
      <c r="M1" s="91"/>
      <c r="N1" s="92"/>
      <c r="O1" s="90" t="s">
        <v>498</v>
      </c>
      <c r="P1" s="91"/>
      <c r="Q1" s="91"/>
      <c r="R1" s="91"/>
    </row>
    <row r="2" spans="2:18">
      <c r="B2" s="3" t="s">
        <v>23</v>
      </c>
      <c r="C2" s="3" t="s">
        <v>440</v>
      </c>
      <c r="D2" s="3"/>
      <c r="E2" s="3" t="s">
        <v>177</v>
      </c>
      <c r="G2" s="60" t="s">
        <v>500</v>
      </c>
      <c r="H2" s="3" t="s">
        <v>501</v>
      </c>
      <c r="I2" s="3" t="s">
        <v>312</v>
      </c>
      <c r="J2" s="63" t="s">
        <v>313</v>
      </c>
      <c r="K2" s="60" t="s">
        <v>500</v>
      </c>
      <c r="L2" s="3" t="s">
        <v>501</v>
      </c>
      <c r="M2" s="3" t="s">
        <v>312</v>
      </c>
      <c r="N2" s="63" t="s">
        <v>313</v>
      </c>
      <c r="O2" s="60" t="s">
        <v>310</v>
      </c>
      <c r="P2" s="3" t="s">
        <v>311</v>
      </c>
      <c r="Q2" s="3" t="s">
        <v>312</v>
      </c>
      <c r="R2" s="3" t="s">
        <v>313</v>
      </c>
    </row>
    <row r="3" spans="2:18">
      <c r="B3" t="s">
        <v>449</v>
      </c>
      <c r="C3" s="36"/>
      <c r="D3" s="36">
        <f>33000-D4-D5</f>
        <v>32600</v>
      </c>
      <c r="E3" s="5" t="s">
        <v>315</v>
      </c>
      <c r="F3" s="5" t="s">
        <v>316</v>
      </c>
      <c r="G3" s="61">
        <f>'Monetary Benefits calc'!D86-'Monetary Benefits calc'!D163</f>
        <v>339829.10016107099</v>
      </c>
      <c r="H3" s="59">
        <f>G3*$D$3</f>
        <v>11078428665.250914</v>
      </c>
      <c r="I3" s="59">
        <f>'Monetary Benefits calc'!D54/'Monetary Benefits calc'!$G$23*'Monetary Benefits calc'!$F$23</f>
        <v>568.52334000000008</v>
      </c>
      <c r="J3" s="64">
        <f t="shared" ref="J3:J9" si="0">I3*D3</f>
        <v>18533860.884000003</v>
      </c>
      <c r="K3" s="61">
        <f>'Monetary Benefits calc'!H86-'Monetary Benefits calc'!D163</f>
        <v>500312.20121599996</v>
      </c>
      <c r="L3" s="59">
        <f>K3*$D3</f>
        <v>16310177759.641598</v>
      </c>
      <c r="M3" s="59">
        <f>'Monetary Benefits calc'!H54/'Monetary Benefits calc'!$G$23*'Monetary Benefits calc'!$F$23</f>
        <v>96.6</v>
      </c>
      <c r="N3" s="64">
        <f>M3*D3</f>
        <v>3149160</v>
      </c>
      <c r="O3" s="61">
        <f>'Monetary Benefits calc'!L86-'Monetary Benefits calc'!D163</f>
        <v>23781271.401216</v>
      </c>
      <c r="P3" s="59">
        <f>O3*$D3</f>
        <v>775269447679.6416</v>
      </c>
      <c r="Q3" s="59">
        <f>'Monetary Benefits calc'!L54/'Monetary Benefits calc'!$G$23*'Monetary Benefits calc'!$F$23</f>
        <v>854.88000000000011</v>
      </c>
      <c r="R3" s="59">
        <f>Q3*D3</f>
        <v>27869088.000000004</v>
      </c>
    </row>
    <row r="4" spans="2:18">
      <c r="B4" t="s">
        <v>317</v>
      </c>
      <c r="C4" t="s">
        <v>451</v>
      </c>
      <c r="D4">
        <v>300</v>
      </c>
      <c r="E4" s="5" t="s">
        <v>319</v>
      </c>
      <c r="G4" s="61">
        <f>'Monetary Benefits calc'!D83-'Monetary Benefits calc'!D160</f>
        <v>595144.25635155034</v>
      </c>
      <c r="H4" s="59">
        <f>G4*$D$4</f>
        <v>178543276.9054651</v>
      </c>
      <c r="I4" s="59">
        <f>'Monetary Benefits calc'!D51/'Monetary Benefits calc'!$G$23*'Monetary Benefits calc'!$F$23</f>
        <v>994.74803999999995</v>
      </c>
      <c r="J4" s="64">
        <f t="shared" si="0"/>
        <v>298424.41200000001</v>
      </c>
      <c r="K4" s="61">
        <f>'Monetary Benefits calc'!H83-'Monetary Benefits calc'!D160</f>
        <v>1383014.7297439999</v>
      </c>
      <c r="L4" s="59">
        <f t="shared" ref="L4:L5" si="1">K4*$D4</f>
        <v>414904418.92319995</v>
      </c>
      <c r="M4" s="59">
        <f>'Monetary Benefits calc'!H51/'Monetary Benefits calc'!$G$23*'Monetary Benefits calc'!$F$23</f>
        <v>266.7</v>
      </c>
      <c r="N4" s="64">
        <f t="shared" ref="N4:N5" si="2">M4*D4</f>
        <v>80010</v>
      </c>
      <c r="O4" s="61">
        <f>'Monetary Benefits calc'!L83-'Monetary Benefits calc'!D160</f>
        <v>46406081.129744001</v>
      </c>
      <c r="P4" s="59">
        <f t="shared" ref="P4:P13" si="3">O4*$D4</f>
        <v>13921824338.923201</v>
      </c>
      <c r="Q4" s="59">
        <f>'Monetary Benefits calc'!L51/'Monetary Benefits calc'!$G$23*'Monetary Benefits calc'!$F$23</f>
        <v>1668.1599999999999</v>
      </c>
      <c r="R4" s="59">
        <f t="shared" ref="R4:R13" si="4">Q4*D4</f>
        <v>500447.99999999994</v>
      </c>
    </row>
    <row r="5" spans="2:18">
      <c r="B5" t="s">
        <v>450</v>
      </c>
      <c r="C5" s="26">
        <v>8.6999999999999994E-2</v>
      </c>
      <c r="D5">
        <v>100</v>
      </c>
      <c r="E5" s="5" t="s">
        <v>321</v>
      </c>
      <c r="G5" s="61">
        <f>'Monetary Benefits calc'!F84-'Monetary Benefits calc'!D161</f>
        <v>950727.97252984089</v>
      </c>
      <c r="H5" s="59">
        <f>G5*$D$5</f>
        <v>95072797.252984092</v>
      </c>
      <c r="I5" s="59">
        <f>'Monetary Benefits calc'!F52/'Monetary Benefits calc'!$G$23*'Monetary Benefits calc'!$F$23</f>
        <v>1588.7777400000002</v>
      </c>
      <c r="J5" s="64">
        <f t="shared" si="0"/>
        <v>158877.77400000003</v>
      </c>
      <c r="K5" s="61">
        <f>'Monetary Benefits calc'!J84-'Monetary Benefits calc'!D161</f>
        <v>1589440.0719359999</v>
      </c>
      <c r="L5" s="59">
        <f t="shared" si="1"/>
        <v>158944007.1936</v>
      </c>
      <c r="M5" s="59">
        <f>'Monetary Benefits calc'!J52/'Monetary Benefits calc'!$G$23*'Monetary Benefits calc'!$F$23</f>
        <v>306.59999999999997</v>
      </c>
      <c r="N5" s="64">
        <f t="shared" si="2"/>
        <v>30659.999999999996</v>
      </c>
      <c r="O5" s="61">
        <f>'Monetary Benefits calc'!N84-'Monetary Benefits calc'!D161</f>
        <v>67063109.671936005</v>
      </c>
      <c r="P5" s="59">
        <f t="shared" si="3"/>
        <v>6706310967.1936007</v>
      </c>
      <c r="Q5" s="59">
        <f>'Monetary Benefits calc'!N52/'Monetary Benefits calc'!$G$23*'Monetary Benefits calc'!$F$23</f>
        <v>2410.7199999999998</v>
      </c>
      <c r="R5" s="59">
        <f t="shared" si="4"/>
        <v>241071.99999999997</v>
      </c>
    </row>
    <row r="6" spans="2:18">
      <c r="G6" s="61"/>
      <c r="H6" s="59"/>
      <c r="I6" s="59"/>
      <c r="J6" s="64">
        <f t="shared" si="0"/>
        <v>0</v>
      </c>
      <c r="K6" s="61"/>
      <c r="L6" s="59"/>
      <c r="M6" s="59"/>
      <c r="N6" s="64"/>
      <c r="O6" s="61"/>
      <c r="P6" s="59">
        <f t="shared" si="3"/>
        <v>0</v>
      </c>
      <c r="Q6" s="59"/>
      <c r="R6" s="59">
        <f t="shared" si="4"/>
        <v>0</v>
      </c>
    </row>
    <row r="7" spans="2:18">
      <c r="B7" t="s">
        <v>448</v>
      </c>
      <c r="D7" s="36">
        <v>17233</v>
      </c>
      <c r="E7" s="5" t="s">
        <v>323</v>
      </c>
      <c r="G7" s="61">
        <f>'Monetary Benefits calc'!F87-'Monetary Benefits calc'!D164</f>
        <v>10299.917297676324</v>
      </c>
      <c r="H7" s="59">
        <f>G7*$D$7</f>
        <v>177498474.79085609</v>
      </c>
      <c r="I7" s="59">
        <f>'Monetary Benefits calc'!F55/'Monetary Benefits calc'!$G$23*'Monetary Benefits calc'!$F$23</f>
        <v>17.451720000000002</v>
      </c>
      <c r="J7" s="64">
        <f t="shared" si="0"/>
        <v>300745.49076000002</v>
      </c>
      <c r="K7" s="61">
        <f>'Monetary Benefits calc'!J87-'Monetary Benefits calc'!D164</f>
        <v>24361.276479999993</v>
      </c>
      <c r="L7" s="59">
        <f>K7*$D7</f>
        <v>419817877.57983989</v>
      </c>
      <c r="M7" s="59">
        <f>'Monetary Benefits calc'!J55/'Monetary Benefits calc'!$G$23*'Monetary Benefits calc'!$F$23</f>
        <v>4.7249999999999996</v>
      </c>
      <c r="N7" s="64">
        <f t="shared" ref="N7:N13" si="5">M7*D7</f>
        <v>81425.924999999988</v>
      </c>
      <c r="O7" s="61">
        <f>'Monetary Benefits calc'!N87-'Monetary Benefits calc'!D164</f>
        <v>809939.87647999986</v>
      </c>
      <c r="P7" s="59">
        <f t="shared" si="3"/>
        <v>13957693891.379837</v>
      </c>
      <c r="Q7" s="59">
        <f>'Monetary Benefits calc'!N55/'Monetary Benefits calc'!$G$23*'Monetary Benefits calc'!$F$23</f>
        <v>29.119999999999994</v>
      </c>
      <c r="R7" s="59">
        <f t="shared" si="4"/>
        <v>501824.9599999999</v>
      </c>
    </row>
    <row r="8" spans="2:18">
      <c r="B8" t="s">
        <v>447</v>
      </c>
      <c r="C8" t="s">
        <v>325</v>
      </c>
      <c r="D8">
        <v>278</v>
      </c>
      <c r="E8" s="5" t="s">
        <v>326</v>
      </c>
      <c r="F8" s="5" t="s">
        <v>327</v>
      </c>
      <c r="G8" s="61">
        <f>'Monetary Benefits calc'!F90-'Monetary Benefits calc'!D167</f>
        <v>7208.0590659048639</v>
      </c>
      <c r="H8" s="59">
        <f>G8*$D$8</f>
        <v>2003840.4203215521</v>
      </c>
      <c r="I8" s="59">
        <f>'Monetary Benefits calc'!F58/'Monetary Benefits calc'!$G$23*'Monetary Benefits calc'!$F$23</f>
        <v>13.424399999999999</v>
      </c>
      <c r="J8" s="64">
        <f t="shared" si="0"/>
        <v>3731.9831999999997</v>
      </c>
      <c r="K8" s="61">
        <f>'Monetary Benefits calc'!J90-'Monetary Benefits calc'!D167</f>
        <v>10057.935359999996</v>
      </c>
      <c r="L8" s="59">
        <f t="shared" ref="L8" si="6">K8*$D8</f>
        <v>2796106.030079999</v>
      </c>
      <c r="M8" s="59">
        <f>'Monetary Benefits calc'!J58/'Monetary Benefits calc'!$G$23*'Monetary Benefits calc'!$F$23</f>
        <v>2.0999999999999996</v>
      </c>
      <c r="N8" s="64">
        <f t="shared" si="5"/>
        <v>583.79999999999995</v>
      </c>
      <c r="O8" s="61">
        <f>'Monetary Benefits calc'!N90-'Monetary Benefits calc'!D167</f>
        <v>577804.33536000003</v>
      </c>
      <c r="P8" s="59">
        <f t="shared" si="3"/>
        <v>160629605.23008001</v>
      </c>
      <c r="Q8" s="59">
        <f>'Monetary Benefits calc'!N58/'Monetary Benefits calc'!$G$23*'Monetary Benefits calc'!$F$23</f>
        <v>20.799999999999997</v>
      </c>
      <c r="R8" s="59">
        <f t="shared" si="4"/>
        <v>5782.4</v>
      </c>
    </row>
    <row r="9" spans="2:18">
      <c r="B9" t="s">
        <v>446</v>
      </c>
      <c r="D9" s="36">
        <f>D8*5</f>
        <v>1390</v>
      </c>
      <c r="G9" s="61">
        <f>('Monetary Benefits calc'!F88+'Monetary Benefits calc'!F89)/2-'Monetary Benefits calc'!D165</f>
        <v>24793.019968305078</v>
      </c>
      <c r="H9" s="59">
        <f>G9*$D$9</f>
        <v>34462297.755944058</v>
      </c>
      <c r="I9" s="59">
        <f>('Monetary Benefits calc'!F56+'Monetary Benefits calc'!F57)/2/'Monetary Benefits calc'!$G$23*'Monetary Benefits calc'!$F$23</f>
        <v>41.615640000000006</v>
      </c>
      <c r="J9" s="64">
        <f t="shared" si="0"/>
        <v>57845.739600000008</v>
      </c>
      <c r="K9" s="61">
        <f>('Monetary Benefits calc'!J88+'Monetary Benefits calc'!J89)/2-'Monetary Benefits calc'!D165</f>
        <v>42076.376479999999</v>
      </c>
      <c r="L9" s="59">
        <f>K9*$D9</f>
        <v>58486163.3072</v>
      </c>
      <c r="M9" s="59">
        <f>('Monetary Benefits calc'!J56+'Monetary Benefits calc'!J57)/2/'Monetary Benefits calc'!$G$23*'Monetary Benefits calc'!$F$23</f>
        <v>8.1374999999999993</v>
      </c>
      <c r="N9" s="64">
        <f t="shared" si="5"/>
        <v>11311.124999999998</v>
      </c>
      <c r="O9" s="61">
        <f>('Monetary Benefits calc'!N88+'Monetary Benefits calc'!N89)/2-'Monetary Benefits calc'!D165</f>
        <v>1793641.47648</v>
      </c>
      <c r="P9" s="59">
        <f t="shared" si="3"/>
        <v>2493161652.3072</v>
      </c>
      <c r="Q9" s="59">
        <f>('Monetary Benefits calc'!N56+'Monetary Benefits calc'!N57)/2/'Monetary Benefits calc'!$G$23*'Monetary Benefits calc'!$F$23</f>
        <v>64.47999999999999</v>
      </c>
      <c r="R9" s="59">
        <f t="shared" si="4"/>
        <v>89627.199999999983</v>
      </c>
    </row>
    <row r="10" spans="2:18">
      <c r="B10" t="s">
        <v>445</v>
      </c>
      <c r="D10" s="36">
        <v>100000</v>
      </c>
      <c r="E10" t="s">
        <v>330</v>
      </c>
      <c r="G10" s="61" t="s">
        <v>331</v>
      </c>
      <c r="H10" s="59"/>
      <c r="I10" s="59"/>
      <c r="J10" s="64"/>
      <c r="K10" s="61"/>
      <c r="L10" s="59"/>
      <c r="M10" s="59"/>
      <c r="N10" s="64">
        <f t="shared" si="5"/>
        <v>0</v>
      </c>
      <c r="O10" s="61"/>
      <c r="P10" s="59">
        <f t="shared" si="3"/>
        <v>0</v>
      </c>
      <c r="Q10" s="59"/>
      <c r="R10" s="59">
        <f t="shared" si="4"/>
        <v>0</v>
      </c>
    </row>
    <row r="11" spans="2:18">
      <c r="B11" t="s">
        <v>441</v>
      </c>
      <c r="C11" t="s">
        <v>333</v>
      </c>
      <c r="D11" s="36">
        <v>300000</v>
      </c>
      <c r="E11" s="5" t="s">
        <v>334</v>
      </c>
      <c r="G11" s="61">
        <f>'Monetary Benefits calc'!D91-'Monetary Benefits calc'!D168</f>
        <v>637.84885059048645</v>
      </c>
      <c r="H11" s="59">
        <f>G11*$D$11</f>
        <v>191354655.17714593</v>
      </c>
      <c r="I11" s="59">
        <f>'Monetary Benefits calc'!D59/'Monetary Benefits calc'!$G$23*'Monetary Benefits calc'!$F$23</f>
        <v>1.3424399999999999</v>
      </c>
      <c r="J11" s="64">
        <f>I11*D11</f>
        <v>402731.99999999994</v>
      </c>
      <c r="K11" s="61">
        <f>'Monetary Benefits calc'!H91-'Monetary Benefits calc'!D168</f>
        <v>2012.9964799999993</v>
      </c>
      <c r="L11" s="59">
        <f t="shared" ref="L11:L13" si="7">K11*$D11</f>
        <v>603898943.99999976</v>
      </c>
      <c r="M11" s="59">
        <f>'Monetary Benefits calc'!H59/'Monetary Benefits calc'!$G$23*'Monetary Benefits calc'!$F$23</f>
        <v>0.41999999999999987</v>
      </c>
      <c r="N11" s="64">
        <f t="shared" si="5"/>
        <v>125999.99999999996</v>
      </c>
      <c r="O11" s="61">
        <f>'Monetary Benefits calc'!L91-'Monetary Benefits calc'!D168</f>
        <v>69270.436479999989</v>
      </c>
      <c r="P11" s="59">
        <f>O11*$D11</f>
        <v>20781130943.999996</v>
      </c>
      <c r="Q11" s="59">
        <f>'Monetary Benefits calc'!L59/'Monetary Benefits calc'!$G$23*'Monetary Benefits calc'!$F$23</f>
        <v>2.4959999999999996</v>
      </c>
      <c r="R11" s="59">
        <f t="shared" si="4"/>
        <v>748799.99999999988</v>
      </c>
    </row>
    <row r="12" spans="2:18">
      <c r="B12" t="s">
        <v>442</v>
      </c>
      <c r="D12" s="36">
        <v>10000</v>
      </c>
      <c r="E12" t="s">
        <v>330</v>
      </c>
      <c r="G12" s="61">
        <f>'Monetary Benefits calc'!D92-'Monetary Benefits calc'!D169</f>
        <v>37309.685628343359</v>
      </c>
      <c r="H12" s="59">
        <f>G12*$D$12</f>
        <v>373096856.28343362</v>
      </c>
      <c r="I12" s="59">
        <f>'Monetary Benefits calc'!D60/'Monetary Benefits calc'!$G$23*'Monetary Benefits calc'!$F$23</f>
        <v>64.437120000000007</v>
      </c>
      <c r="J12" s="64">
        <f>I12*D12</f>
        <v>644371.20000000007</v>
      </c>
      <c r="K12" s="61">
        <f>'Monetary Benefits calc'!H92-'Monetary Benefits calc'!D169</f>
        <v>85874.211839999974</v>
      </c>
      <c r="L12" s="59">
        <f t="shared" si="7"/>
        <v>858742118.39999974</v>
      </c>
      <c r="M12" s="59">
        <f>'Monetary Benefits calc'!H60/'Monetary Benefits calc'!$G$23*'Monetary Benefits calc'!$F$23</f>
        <v>16.799999999999997</v>
      </c>
      <c r="N12" s="64">
        <f t="shared" si="5"/>
        <v>167999.99999999997</v>
      </c>
      <c r="O12" s="61">
        <f>'Monetary Benefits calc'!L92-'Monetary Benefits calc'!D169</f>
        <v>3123360.6118399999</v>
      </c>
      <c r="P12" s="59">
        <f t="shared" si="3"/>
        <v>31233606118.399998</v>
      </c>
      <c r="Q12" s="59">
        <f>'Monetary Benefits calc'!L60/'Monetary Benefits calc'!$G$23*'Monetary Benefits calc'!$F$23</f>
        <v>112.31999999999998</v>
      </c>
      <c r="R12" s="59">
        <f t="shared" si="4"/>
        <v>1123199.9999999998</v>
      </c>
    </row>
    <row r="13" spans="2:18">
      <c r="B13" t="s">
        <v>443</v>
      </c>
      <c r="D13" s="36">
        <v>40000</v>
      </c>
      <c r="E13" t="s">
        <v>330</v>
      </c>
      <c r="G13" s="61">
        <f>'Monetary Benefits calc'!D93-'Monetary Benefits calc'!D170</f>
        <v>8556.2186091429721</v>
      </c>
      <c r="H13" s="59">
        <f>G13*$D$13</f>
        <v>342248744.3657189</v>
      </c>
      <c r="I13" s="59">
        <f>'Monetary Benefits calc'!D61/'Monetary Benefits calc'!$G$23*'Monetary Benefits calc'!$F$23</f>
        <v>15.102449999999999</v>
      </c>
      <c r="J13" s="64">
        <f>I13*D13</f>
        <v>604098</v>
      </c>
      <c r="K13" s="61">
        <f>'Monetary Benefits calc'!H93-'Monetary Benefits calc'!D170</f>
        <v>19938.529439999991</v>
      </c>
      <c r="L13" s="59">
        <f t="shared" si="7"/>
        <v>797541177.59999967</v>
      </c>
      <c r="M13" s="59">
        <f>'Monetary Benefits calc'!H61/'Monetary Benefits calc'!$G$23*'Monetary Benefits calc'!$F$23</f>
        <v>3.9374999999999991</v>
      </c>
      <c r="N13" s="64">
        <f t="shared" si="5"/>
        <v>157499.99999999997</v>
      </c>
      <c r="O13" s="61">
        <f>'Monetary Benefits calc'!L93-'Monetary Benefits calc'!D170</f>
        <v>867470.02943999972</v>
      </c>
      <c r="P13" s="59">
        <f t="shared" si="3"/>
        <v>34698801177.599991</v>
      </c>
      <c r="Q13" s="59">
        <f>'Monetary Benefits calc'!L61/'Monetary Benefits calc'!$G$23*'Monetary Benefits calc'!$F$23</f>
        <v>31.199999999999992</v>
      </c>
      <c r="R13" s="59">
        <f t="shared" si="4"/>
        <v>1247999.9999999998</v>
      </c>
    </row>
    <row r="14" spans="2:18">
      <c r="B14" t="s">
        <v>444</v>
      </c>
      <c r="D14" s="36">
        <v>10000</v>
      </c>
      <c r="E14" t="s">
        <v>330</v>
      </c>
      <c r="G14" s="62" t="s">
        <v>331</v>
      </c>
      <c r="J14" s="65"/>
      <c r="K14" s="62"/>
      <c r="N14" s="65"/>
      <c r="O14" s="62"/>
    </row>
    <row r="15" spans="2:18">
      <c r="G15" s="62"/>
      <c r="H15" s="66">
        <f>SUM(H3:H12)/population_CH</f>
        <v>1378.4614617996663</v>
      </c>
      <c r="J15" s="67">
        <f>SUM(J3:J13)/population_CH</f>
        <v>2.38689630495</v>
      </c>
      <c r="K15" s="62"/>
      <c r="L15" s="66">
        <f>SUM(L3:L12)/population_CH</f>
        <v>2139.5190221676726</v>
      </c>
      <c r="N15" s="67">
        <f>SUM(N3:N13)/population_CH</f>
        <v>0.43234668749999994</v>
      </c>
      <c r="O15" s="62"/>
      <c r="P15" s="66">
        <f>SUM(P3:P12)/population_CH</f>
        <v>98241.341499667687</v>
      </c>
      <c r="R15" s="66">
        <f>SUM(R3:R13)/population_CH</f>
        <v>3.6736184727272732</v>
      </c>
    </row>
    <row r="16" spans="2:18">
      <c r="C16" s="36"/>
      <c r="D16" s="36"/>
      <c r="E16" s="36"/>
      <c r="G16" s="62"/>
      <c r="H16" s="47" t="s">
        <v>338</v>
      </c>
      <c r="J16" s="63" t="s">
        <v>339</v>
      </c>
      <c r="K16" s="60"/>
      <c r="L16" s="47" t="s">
        <v>338</v>
      </c>
      <c r="M16" s="3"/>
      <c r="N16" s="63" t="s">
        <v>339</v>
      </c>
      <c r="O16" s="60"/>
      <c r="P16" s="47" t="s">
        <v>338</v>
      </c>
      <c r="Q16" s="3"/>
      <c r="R16" s="3" t="s">
        <v>339</v>
      </c>
    </row>
    <row r="17" spans="2:18">
      <c r="H17" s="85">
        <f>H15*population_CH</f>
        <v>12130460863.837063</v>
      </c>
      <c r="J17" s="3"/>
      <c r="K17" s="3"/>
      <c r="L17" s="85">
        <f>L15*population_CH</f>
        <v>18827767395.07552</v>
      </c>
      <c r="M17" s="3"/>
      <c r="N17" s="3"/>
      <c r="O17" s="3"/>
      <c r="P17" s="85">
        <f>P15*population_CH</f>
        <v>864523805197.07568</v>
      </c>
      <c r="Q17" s="3"/>
      <c r="R17" s="3"/>
    </row>
    <row r="18" spans="2:18">
      <c r="B18" t="s">
        <v>340</v>
      </c>
      <c r="C18" s="36">
        <v>8800000</v>
      </c>
      <c r="L18" s="3" t="s">
        <v>479</v>
      </c>
      <c r="P18" s="3" t="s">
        <v>479</v>
      </c>
    </row>
    <row r="20" spans="2:18">
      <c r="L20" s="59">
        <f>SUM(L3:L5)</f>
        <v>16884026185.758398</v>
      </c>
      <c r="P20" s="59">
        <f>SUM(P3:P5)</f>
        <v>795897582985.75842</v>
      </c>
    </row>
    <row r="21" spans="2:18">
      <c r="L21" t="s">
        <v>496</v>
      </c>
      <c r="P21" t="s">
        <v>496</v>
      </c>
    </row>
    <row r="24" spans="2:18">
      <c r="C24" s="3" t="s">
        <v>439</v>
      </c>
      <c r="P24" s="37"/>
    </row>
    <row r="25" spans="2:18">
      <c r="D25" t="s">
        <v>338</v>
      </c>
      <c r="E25" t="s">
        <v>341</v>
      </c>
      <c r="G25" t="s">
        <v>472</v>
      </c>
    </row>
    <row r="26" spans="2:18">
      <c r="C26" t="s">
        <v>217</v>
      </c>
      <c r="D26" s="59">
        <f>ROUND(H15/10,0)*10</f>
        <v>1380</v>
      </c>
      <c r="E26" s="58">
        <f>ROUND(J15,1)</f>
        <v>2.4</v>
      </c>
      <c r="F26" s="59"/>
      <c r="G26" s="59">
        <f>SUM(J3:J13)</f>
        <v>21004687.48356</v>
      </c>
    </row>
    <row r="27" spans="2:18">
      <c r="C27" t="s">
        <v>342</v>
      </c>
      <c r="D27" s="59">
        <f>ROUND(L15/10,0)*10</f>
        <v>2140</v>
      </c>
      <c r="E27" s="58">
        <f>ROUND(N15,1)</f>
        <v>0.4</v>
      </c>
      <c r="F27" s="59"/>
    </row>
    <row r="28" spans="2:18">
      <c r="C28" t="s">
        <v>307</v>
      </c>
      <c r="D28" s="59">
        <f>ROUND(P15/10,0)*10</f>
        <v>98240</v>
      </c>
      <c r="E28" s="58">
        <f>ROUND(R15,1)</f>
        <v>3.7</v>
      </c>
      <c r="F28" s="59"/>
    </row>
  </sheetData>
  <mergeCells count="3">
    <mergeCell ref="G1:J1"/>
    <mergeCell ref="K1:N1"/>
    <mergeCell ref="O1:R1"/>
  </mergeCells>
  <hyperlinks>
    <hyperlink ref="E11" r:id="rId1" xr:uid="{00000000-0004-0000-0400-000000000000}"/>
    <hyperlink ref="E3" r:id="rId2" xr:uid="{00000000-0004-0000-0400-000001000000}"/>
    <hyperlink ref="F3" r:id="rId3" xr:uid="{00000000-0004-0000-0400-000002000000}"/>
    <hyperlink ref="E4" r:id="rId4" xr:uid="{00000000-0004-0000-0400-000003000000}"/>
    <hyperlink ref="E5" r:id="rId5" xr:uid="{00000000-0004-0000-0400-000004000000}"/>
    <hyperlink ref="E7" r:id="rId6" xr:uid="{00000000-0004-0000-0400-000005000000}"/>
    <hyperlink ref="E8" r:id="rId7" location="topicOverview" xr:uid="{00000000-0004-0000-0400-000006000000}"/>
    <hyperlink ref="F8" r:id="rId8" xr:uid="{00000000-0004-0000-0400-000007000000}"/>
  </hyperlinks>
  <pageMargins left="0.7" right="0.7" top="0.75" bottom="0.75" header="0.3" footer="0.3"/>
  <pageSetup paperSize="9" orientation="portrait" verticalDpi="0" r:id="rId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F221D-BE66-497D-84BC-0FB699605338}">
  <dimension ref="B1:R28"/>
  <sheetViews>
    <sheetView workbookViewId="0">
      <selection activeCell="I20" sqref="I20"/>
    </sheetView>
  </sheetViews>
  <sheetFormatPr defaultRowHeight="14.4"/>
  <cols>
    <col min="1" max="1" width="7" customWidth="1"/>
    <col min="2" max="2" width="29.5546875" customWidth="1"/>
    <col min="3" max="3" width="16.44140625" customWidth="1"/>
    <col min="4" max="5" width="12.77734375" bestFit="1" customWidth="1"/>
    <col min="6" max="6" width="9.21875" bestFit="1" customWidth="1"/>
    <col min="7" max="7" width="17.44140625" customWidth="1"/>
    <col min="8" max="8" width="19.21875" bestFit="1" customWidth="1"/>
    <col min="9" max="9" width="19.77734375" customWidth="1"/>
    <col min="10" max="10" width="21.44140625" bestFit="1" customWidth="1"/>
    <col min="11" max="11" width="14.77734375" bestFit="1" customWidth="1"/>
    <col min="12" max="12" width="19.77734375" bestFit="1" customWidth="1"/>
    <col min="13" max="13" width="11.21875" customWidth="1"/>
    <col min="14" max="14" width="15.21875" customWidth="1"/>
    <col min="15" max="15" width="12.21875" bestFit="1" customWidth="1"/>
    <col min="16" max="16" width="18.5546875" bestFit="1" customWidth="1"/>
    <col min="17" max="17" width="9.21875" bestFit="1" customWidth="1"/>
    <col min="18" max="18" width="15.21875" bestFit="1" customWidth="1"/>
  </cols>
  <sheetData>
    <row r="1" spans="2:18">
      <c r="G1" s="90" t="s">
        <v>499</v>
      </c>
      <c r="H1" s="91"/>
      <c r="I1" s="91"/>
      <c r="J1" s="92"/>
      <c r="K1" s="101" t="s">
        <v>497</v>
      </c>
      <c r="L1" s="102"/>
      <c r="M1" s="102"/>
      <c r="N1" s="103"/>
      <c r="O1" s="101" t="s">
        <v>498</v>
      </c>
      <c r="P1" s="102"/>
      <c r="Q1" s="102"/>
      <c r="R1" s="102"/>
    </row>
    <row r="2" spans="2:18">
      <c r="B2" s="3" t="s">
        <v>23</v>
      </c>
      <c r="C2" s="3" t="s">
        <v>308</v>
      </c>
      <c r="D2" s="3"/>
      <c r="E2" s="3" t="s">
        <v>309</v>
      </c>
      <c r="G2" s="60" t="s">
        <v>310</v>
      </c>
      <c r="H2" s="3" t="s">
        <v>311</v>
      </c>
      <c r="I2" s="3" t="s">
        <v>312</v>
      </c>
      <c r="J2" s="63" t="s">
        <v>313</v>
      </c>
      <c r="K2" s="60" t="s">
        <v>310</v>
      </c>
      <c r="L2" s="3" t="s">
        <v>311</v>
      </c>
      <c r="M2" s="3" t="s">
        <v>312</v>
      </c>
      <c r="N2" s="63" t="s">
        <v>313</v>
      </c>
      <c r="O2" s="60" t="s">
        <v>310</v>
      </c>
      <c r="P2" s="3" t="s">
        <v>311</v>
      </c>
      <c r="Q2" s="3" t="s">
        <v>312</v>
      </c>
      <c r="R2" s="3" t="s">
        <v>313</v>
      </c>
    </row>
    <row r="3" spans="2:18">
      <c r="B3" t="s">
        <v>314</v>
      </c>
      <c r="C3" s="36">
        <v>23200</v>
      </c>
      <c r="D3" s="36">
        <f>33000-D4-D5</f>
        <v>32600</v>
      </c>
      <c r="E3" s="5" t="s">
        <v>315</v>
      </c>
      <c r="F3" s="5" t="s">
        <v>316</v>
      </c>
      <c r="G3" s="61">
        <f>'Calc. without intangible Ben.'!D86-'Calc. without intangible Ben.'!D147</f>
        <v>209260.66216107106</v>
      </c>
      <c r="H3" s="59">
        <f>G3*$D$3</f>
        <v>6821897586.4509163</v>
      </c>
      <c r="I3" s="59">
        <f>'Calc. without intangible Ben.'!D54/'Calc. without intangible Ben.'!$G$23*'Calc. without intangible Ben.'!$F$23</f>
        <v>568.52334000000008</v>
      </c>
      <c r="J3" s="64">
        <f t="shared" ref="J3:J9" si="0">I3*D3</f>
        <v>18533860.884000003</v>
      </c>
      <c r="K3" s="61">
        <f>'Calc. without intangible Ben.'!H86-'Calc. without intangible Ben.'!D147</f>
        <v>62134.601216000003</v>
      </c>
      <c r="L3" s="59">
        <f>K3*$D3</f>
        <v>2025587999.6416001</v>
      </c>
      <c r="M3" s="59">
        <f>'Calc. without intangible Ben.'!H54/'Calc. without intangible Ben.'!$G$23*'Calc. without intangible Ben.'!$F$23</f>
        <v>96.6</v>
      </c>
      <c r="N3" s="64">
        <f>M3*D3</f>
        <v>3149160</v>
      </c>
      <c r="O3" s="61">
        <f>'Calc. without intangible Ben.'!L86-'Calc. without intangible Ben.'!D147</f>
        <v>632929.40121600009</v>
      </c>
      <c r="P3" s="59">
        <f t="shared" ref="P3:P13" si="1">O3*$D3</f>
        <v>20633498479.641602</v>
      </c>
      <c r="Q3" s="59">
        <f>'Calc. without intangible Ben.'!L54/'Calc. without intangible Ben.'!$G$23*'Calc. without intangible Ben.'!$F$23</f>
        <v>854.88000000000011</v>
      </c>
      <c r="R3" s="59">
        <f t="shared" ref="R3:R13" si="2">Q3*D3</f>
        <v>27869088.000000004</v>
      </c>
    </row>
    <row r="4" spans="2:18">
      <c r="B4" t="s">
        <v>317</v>
      </c>
      <c r="C4" t="s">
        <v>318</v>
      </c>
      <c r="D4">
        <v>300</v>
      </c>
      <c r="E4" s="5" t="s">
        <v>319</v>
      </c>
      <c r="G4" s="61">
        <f>'Calc. without intangible Ben.'!D83-'Calc. without intangible Ben.'!D144</f>
        <v>366688.02835155051</v>
      </c>
      <c r="H4" s="59">
        <f>G4*$D$4</f>
        <v>110006408.50546515</v>
      </c>
      <c r="I4" s="59">
        <f>'Calc. without intangible Ben.'!D51/'Calc. without intangible Ben.'!$G$23*'Calc. without intangible Ben.'!$F$23</f>
        <v>994.74803999999995</v>
      </c>
      <c r="J4" s="64">
        <f t="shared" si="0"/>
        <v>298424.41200000001</v>
      </c>
      <c r="K4" s="61">
        <f>'Calc. without intangible Ben.'!H83-'Calc. without intangible Ben.'!D144</f>
        <v>173263.529744</v>
      </c>
      <c r="L4" s="59">
        <f>K4*$D4</f>
        <v>51979058.923199996</v>
      </c>
      <c r="M4" s="59">
        <f>'Calc. without intangible Ben.'!H51/'Calc. without intangible Ben.'!$G$23*'Calc. without intangible Ben.'!$F$23</f>
        <v>266.7</v>
      </c>
      <c r="N4" s="64">
        <f>M4*D4</f>
        <v>80010</v>
      </c>
      <c r="O4" s="61">
        <f>'Calc. without intangible Ben.'!L83-'Calc. without intangible Ben.'!D144</f>
        <v>1235837.129744</v>
      </c>
      <c r="P4" s="59">
        <f t="shared" si="1"/>
        <v>370751138.92320001</v>
      </c>
      <c r="Q4" s="59">
        <f>'Calc. without intangible Ben.'!L51/'Calc. without intangible Ben.'!$G$23*'Calc. without intangible Ben.'!$F$23</f>
        <v>1668.1599999999999</v>
      </c>
      <c r="R4" s="59">
        <f t="shared" si="2"/>
        <v>500447.99999999994</v>
      </c>
    </row>
    <row r="5" spans="2:18">
      <c r="B5" t="s">
        <v>320</v>
      </c>
      <c r="C5" s="26">
        <v>8.6999999999999994E-2</v>
      </c>
      <c r="D5">
        <v>100</v>
      </c>
      <c r="E5" s="5" t="s">
        <v>321</v>
      </c>
      <c r="G5" s="61">
        <f>'Calc. without intangible Ben.'!F84-'Calc. without intangible Ben.'!D145</f>
        <v>585845.45452984085</v>
      </c>
      <c r="H5" s="59">
        <f>G5*$D$5</f>
        <v>58584545.452984087</v>
      </c>
      <c r="I5" s="59">
        <f>'Calc. without intangible Ben.'!F52/'Calc. without intangible Ben.'!$G$23*'Calc. without intangible Ben.'!$F$23</f>
        <v>1588.7777400000002</v>
      </c>
      <c r="J5" s="64">
        <f t="shared" si="0"/>
        <v>158877.77400000003</v>
      </c>
      <c r="K5" s="61">
        <f>'Calc. without intangible Ben.'!J84-'Calc. without intangible Ben.'!D145</f>
        <v>198702.47193599999</v>
      </c>
      <c r="L5" s="59">
        <f>K5*$D5</f>
        <v>19870247.193599999</v>
      </c>
      <c r="M5" s="59">
        <f>'Calc. without intangible Ben.'!J52/'Calc. without intangible Ben.'!$G$23*'Calc. without intangible Ben.'!$F$23</f>
        <v>306.59999999999997</v>
      </c>
      <c r="N5" s="64">
        <f>M5*D5</f>
        <v>30659.999999999996</v>
      </c>
      <c r="O5" s="61">
        <f>'Calc. without intangible Ben.'!N84-'Calc. without intangible Ben.'!D145</f>
        <v>1785911.671936</v>
      </c>
      <c r="P5" s="59">
        <f t="shared" si="1"/>
        <v>178591167.1936</v>
      </c>
      <c r="Q5" s="59">
        <f>'Calc. without intangible Ben.'!N52/'Calc. without intangible Ben.'!$G$23*'Calc. without intangible Ben.'!$F$23</f>
        <v>2410.7199999999998</v>
      </c>
      <c r="R5" s="59">
        <f t="shared" si="2"/>
        <v>241071.99999999997</v>
      </c>
    </row>
    <row r="6" spans="2:18">
      <c r="G6" s="61"/>
      <c r="H6" s="59"/>
      <c r="I6" s="59"/>
      <c r="J6" s="64">
        <f t="shared" si="0"/>
        <v>0</v>
      </c>
      <c r="K6" s="61"/>
      <c r="L6" s="59"/>
      <c r="M6" s="59"/>
      <c r="N6" s="64"/>
      <c r="O6" s="61"/>
      <c r="P6" s="59">
        <f t="shared" si="1"/>
        <v>0</v>
      </c>
      <c r="Q6" s="59"/>
      <c r="R6" s="59">
        <f t="shared" si="2"/>
        <v>0</v>
      </c>
    </row>
    <row r="7" spans="2:18">
      <c r="B7" t="s">
        <v>322</v>
      </c>
      <c r="D7" s="36">
        <v>17233</v>
      </c>
      <c r="E7" s="5" t="s">
        <v>323</v>
      </c>
      <c r="G7" s="61">
        <f>'Calc. without intangible Ben.'!F87-'Calc. without intangible Ben.'!D148</f>
        <v>6291.9132976763249</v>
      </c>
      <c r="H7" s="59">
        <f>G7*$D$7</f>
        <v>108428541.85885611</v>
      </c>
      <c r="I7" s="59">
        <f>'Calc. without intangible Ben.'!F55/'Calc. without intangible Ben.'!$G$23*'Calc. without intangible Ben.'!$F$23</f>
        <v>17.451720000000002</v>
      </c>
      <c r="J7" s="64">
        <f t="shared" si="0"/>
        <v>300745.49076000002</v>
      </c>
      <c r="K7" s="61">
        <f>'Calc. without intangible Ben.'!J87-'Calc. without intangible Ben.'!D148</f>
        <v>2928.6764800000001</v>
      </c>
      <c r="L7" s="59">
        <f>K7*$D7</f>
        <v>50469881.77984</v>
      </c>
      <c r="M7" s="59">
        <f>'Calc. without intangible Ben.'!J55/'Calc. without intangible Ben.'!$G$23*'Calc. without intangible Ben.'!$F$23</f>
        <v>4.7249999999999996</v>
      </c>
      <c r="N7" s="64">
        <f t="shared" ref="N7:N13" si="3">M7*D7</f>
        <v>81425.924999999988</v>
      </c>
      <c r="O7" s="61">
        <f>'Calc. without intangible Ben.'!N87-'Calc. without intangible Ben.'!D148</f>
        <v>21431.876479999995</v>
      </c>
      <c r="P7" s="59">
        <f t="shared" si="1"/>
        <v>369335527.3798399</v>
      </c>
      <c r="Q7" s="59">
        <f>'Calc. without intangible Ben.'!N55/'Calc. without intangible Ben.'!$G$23*'Calc. without intangible Ben.'!$F$23</f>
        <v>29.119999999999994</v>
      </c>
      <c r="R7" s="59">
        <f t="shared" si="2"/>
        <v>501824.9599999999</v>
      </c>
    </row>
    <row r="8" spans="2:18">
      <c r="B8" t="s">
        <v>324</v>
      </c>
      <c r="C8" t="s">
        <v>325</v>
      </c>
      <c r="D8">
        <v>278</v>
      </c>
      <c r="E8" s="5" t="s">
        <v>326</v>
      </c>
      <c r="F8" s="5" t="s">
        <v>327</v>
      </c>
      <c r="G8" s="61">
        <f>'Calc. without intangible Ben.'!F90-'Calc. without intangible Ben.'!D151</f>
        <v>4124.9790659048649</v>
      </c>
      <c r="H8" s="59">
        <f>G8*$D$8</f>
        <v>1146744.1803215526</v>
      </c>
      <c r="I8" s="59">
        <f>'Calc. without intangible Ben.'!F58/'Calc. without intangible Ben.'!$G$23*'Calc. without intangible Ben.'!$F$23</f>
        <v>13.424399999999999</v>
      </c>
      <c r="J8" s="64">
        <f t="shared" si="0"/>
        <v>3731.9831999999997</v>
      </c>
      <c r="K8" s="61">
        <f>'Calc. without intangible Ben.'!J90-'Calc. without intangible Ben.'!D151</f>
        <v>532.3353599999997</v>
      </c>
      <c r="L8" s="59">
        <f>K8*$D8</f>
        <v>147989.23007999992</v>
      </c>
      <c r="M8" s="59">
        <f>'Calc. without intangible Ben.'!J58/'Calc. without intangible Ben.'!$G$23*'Calc. without intangible Ben.'!$F$23</f>
        <v>2.0999999999999996</v>
      </c>
      <c r="N8" s="64">
        <f t="shared" si="3"/>
        <v>583.79999999999995</v>
      </c>
      <c r="O8" s="61">
        <f>'Calc. without intangible Ben.'!N90-'Calc. without intangible Ben.'!D151</f>
        <v>14584.335359999997</v>
      </c>
      <c r="P8" s="59">
        <f t="shared" si="1"/>
        <v>4054445.2300799992</v>
      </c>
      <c r="Q8" s="59">
        <f>'Calc. without intangible Ben.'!N58/'Calc. without intangible Ben.'!$G$23*'Calc. without intangible Ben.'!$F$23</f>
        <v>20.799999999999997</v>
      </c>
      <c r="R8" s="59">
        <f t="shared" si="2"/>
        <v>5782.4</v>
      </c>
    </row>
    <row r="9" spans="2:18">
      <c r="B9" t="s">
        <v>328</v>
      </c>
      <c r="D9" s="36">
        <f>D8*5</f>
        <v>1390</v>
      </c>
      <c r="G9" s="61">
        <f>('Calc. without intangible Ben.'!F88+'Calc. without intangible Ben.'!F89)/2-'Calc. without intangible Ben.'!D149</f>
        <v>15235.471968305081</v>
      </c>
      <c r="H9" s="59">
        <f>G9*$D$9</f>
        <v>21177306.035944063</v>
      </c>
      <c r="I9" s="59">
        <f>('Calc. without intangible Ben.'!F56+'Calc. without intangible Ben.'!F57)/2/'Calc. without intangible Ben.'!$G$23*'Calc. without intangible Ben.'!$F$23</f>
        <v>41.615640000000006</v>
      </c>
      <c r="J9" s="64">
        <f t="shared" si="0"/>
        <v>57845.739600000008</v>
      </c>
      <c r="K9" s="61">
        <f>('Calc. without intangible Ben.'!J88+'Calc. without intangible Ben.'!J89)/2-'Calc. without intangible Ben.'!D149</f>
        <v>5164.6764800000001</v>
      </c>
      <c r="L9" s="59">
        <f>K9*$D9</f>
        <v>7178900.3071999997</v>
      </c>
      <c r="M9" s="59">
        <f>('Calc. without intangible Ben.'!J56+'Calc. without intangible Ben.'!J57)/2/'Calc. without intangible Ben.'!$G$23*'Calc. without intangible Ben.'!$F$23</f>
        <v>8.1374999999999993</v>
      </c>
      <c r="N9" s="64">
        <f t="shared" si="3"/>
        <v>11311.124999999998</v>
      </c>
      <c r="O9" s="61">
        <f>('Calc. without intangible Ben.'!N88+'Calc. without intangible Ben.'!N89)/2-'Calc. without intangible Ben.'!D149</f>
        <v>47659.476480000005</v>
      </c>
      <c r="P9" s="59">
        <f t="shared" si="1"/>
        <v>66246672.307200007</v>
      </c>
      <c r="Q9" s="59">
        <f>('Calc. without intangible Ben.'!N56+'Calc. without intangible Ben.'!N57)/2/'Calc. without intangible Ben.'!$G$23*'Calc. without intangible Ben.'!$F$23</f>
        <v>64.47999999999999</v>
      </c>
      <c r="R9" s="59">
        <f t="shared" si="2"/>
        <v>89627.199999999983</v>
      </c>
    </row>
    <row r="10" spans="2:18">
      <c r="B10" t="s">
        <v>329</v>
      </c>
      <c r="D10" s="36">
        <v>100000</v>
      </c>
      <c r="E10" t="s">
        <v>330</v>
      </c>
      <c r="G10" s="61" t="s">
        <v>331</v>
      </c>
      <c r="H10" s="59"/>
      <c r="I10" s="59"/>
      <c r="J10" s="64"/>
      <c r="K10" s="61"/>
      <c r="L10" s="59"/>
      <c r="M10" s="59"/>
      <c r="N10" s="64">
        <f t="shared" si="3"/>
        <v>0</v>
      </c>
      <c r="O10" s="61"/>
      <c r="P10" s="59">
        <f t="shared" si="1"/>
        <v>0</v>
      </c>
      <c r="Q10" s="59"/>
      <c r="R10" s="59">
        <f t="shared" si="2"/>
        <v>0</v>
      </c>
    </row>
    <row r="11" spans="2:18">
      <c r="B11" t="s">
        <v>332</v>
      </c>
      <c r="C11" t="s">
        <v>333</v>
      </c>
      <c r="D11" s="36">
        <v>300000</v>
      </c>
      <c r="E11" s="5" t="s">
        <v>334</v>
      </c>
      <c r="G11" s="61">
        <f>'Calc. without intangible Ben.'!D91-'Calc. without intangible Ben.'!D152</f>
        <v>329.54085059048646</v>
      </c>
      <c r="H11" s="59">
        <f>G11*$D$11</f>
        <v>98862255.177145943</v>
      </c>
      <c r="I11" s="59">
        <f>'Calc. without intangible Ben.'!D59/'Calc. without intangible Ben.'!$G$23*'Calc. without intangible Ben.'!$F$23</f>
        <v>1.3424399999999999</v>
      </c>
      <c r="J11" s="64">
        <f>I11*D11</f>
        <v>402731.99999999994</v>
      </c>
      <c r="K11" s="61">
        <f>'Calc. without intangible Ben.'!H91-'Calc. without intangible Ben.'!D152</f>
        <v>107.8764799999999</v>
      </c>
      <c r="L11" s="59">
        <f>K11*$D11</f>
        <v>32362943.99999997</v>
      </c>
      <c r="M11" s="59">
        <f>'Calc. without intangible Ben.'!H59/'Calc. without intangible Ben.'!$G$23*'Calc. without intangible Ben.'!$F$23</f>
        <v>0.41999999999999987</v>
      </c>
      <c r="N11" s="64">
        <f t="shared" si="3"/>
        <v>125999.99999999996</v>
      </c>
      <c r="O11" s="61">
        <f>'Calc. without intangible Ben.'!L91-'Calc. without intangible Ben.'!D152</f>
        <v>1684.0364799999998</v>
      </c>
      <c r="P11" s="59">
        <f t="shared" si="1"/>
        <v>505210943.99999994</v>
      </c>
      <c r="Q11" s="59">
        <f>'Calc. without intangible Ben.'!L59/'Calc. without intangible Ben.'!$G$23*'Calc. without intangible Ben.'!$F$23</f>
        <v>2.4959999999999996</v>
      </c>
      <c r="R11" s="59">
        <f t="shared" si="2"/>
        <v>748799.99999999988</v>
      </c>
    </row>
    <row r="12" spans="2:18">
      <c r="B12" t="s">
        <v>335</v>
      </c>
      <c r="D12" s="36">
        <v>10000</v>
      </c>
      <c r="E12" t="s">
        <v>330</v>
      </c>
      <c r="G12" s="61">
        <f>'Calc. without intangible Ben.'!D92-'Calc. without intangible Ben.'!D153</f>
        <v>22510.901628343356</v>
      </c>
      <c r="H12" s="59">
        <f>G12*$D$12</f>
        <v>225109016.28343356</v>
      </c>
      <c r="I12" s="59">
        <f>'Calc. without intangible Ben.'!D60/'Calc. without intangible Ben.'!$G$23*'Calc. without intangible Ben.'!$F$23</f>
        <v>64.437120000000007</v>
      </c>
      <c r="J12" s="64">
        <f>I12*D12</f>
        <v>644371.20000000007</v>
      </c>
      <c r="K12" s="61">
        <f>'Calc. without intangible Ben.'!H92-'Calc. without intangible Ben.'!D153</f>
        <v>9669.4118399999988</v>
      </c>
      <c r="L12" s="59">
        <f>K12*$D12</f>
        <v>96694118.399999991</v>
      </c>
      <c r="M12" s="59">
        <f>'Calc. without intangible Ben.'!H60/'Calc. without intangible Ben.'!$G$23*'Calc. without intangible Ben.'!$F$23</f>
        <v>16.799999999999997</v>
      </c>
      <c r="N12" s="64">
        <f t="shared" si="3"/>
        <v>167999.99999999997</v>
      </c>
      <c r="O12" s="61">
        <f>'Calc. without intangible Ben.'!L92-'Calc. without intangible Ben.'!D153</f>
        <v>81972.611839999983</v>
      </c>
      <c r="P12" s="59">
        <f t="shared" si="1"/>
        <v>819726118.39999986</v>
      </c>
      <c r="Q12" s="59">
        <f>'Calc. without intangible Ben.'!L60/'Calc. without intangible Ben.'!$G$23*'Calc. without intangible Ben.'!$F$23</f>
        <v>112.31999999999998</v>
      </c>
      <c r="R12" s="59">
        <f t="shared" si="2"/>
        <v>1123199.9999999998</v>
      </c>
    </row>
    <row r="13" spans="2:18">
      <c r="B13" t="s">
        <v>336</v>
      </c>
      <c r="D13" s="36">
        <v>40000</v>
      </c>
      <c r="E13" t="s">
        <v>330</v>
      </c>
      <c r="G13" s="61">
        <f>'Calc. without intangible Ben.'!D93-'Calc. without intangible Ben.'!D154</f>
        <v>5087.7536091429729</v>
      </c>
      <c r="H13" s="59">
        <f>G13*$D$13</f>
        <v>203510144.3657189</v>
      </c>
      <c r="I13" s="59">
        <f>'Calc. without intangible Ben.'!D61/'Calc. without intangible Ben.'!$G$23*'Calc. without intangible Ben.'!$F$23</f>
        <v>15.102449999999999</v>
      </c>
      <c r="J13" s="64">
        <f>I13*D13</f>
        <v>604098</v>
      </c>
      <c r="K13" s="61">
        <f>'Calc. without intangible Ben.'!H93-'Calc. without intangible Ben.'!D154</f>
        <v>2078.0294399999993</v>
      </c>
      <c r="L13" s="59">
        <f>K13*$D13</f>
        <v>83121177.599999979</v>
      </c>
      <c r="M13" s="59">
        <f>'Calc. without intangible Ben.'!H61/'Calc. without intangible Ben.'!$G$23*'Calc. without intangible Ben.'!$F$23</f>
        <v>3.9374999999999991</v>
      </c>
      <c r="N13" s="64">
        <f t="shared" si="3"/>
        <v>157499.99999999997</v>
      </c>
      <c r="O13" s="61">
        <f>'Calc. without intangible Ben.'!L93-'Calc. without intangible Ben.'!D154</f>
        <v>22640.029439999995</v>
      </c>
      <c r="P13" s="59">
        <f t="shared" si="1"/>
        <v>905601177.59999979</v>
      </c>
      <c r="Q13" s="59">
        <f>'Calc. without intangible Ben.'!L61/'Calc. without intangible Ben.'!$G$23*'Calc. without intangible Ben.'!$F$23</f>
        <v>31.199999999999992</v>
      </c>
      <c r="R13" s="59">
        <f t="shared" si="2"/>
        <v>1247999.9999999998</v>
      </c>
    </row>
    <row r="14" spans="2:18">
      <c r="B14" t="s">
        <v>337</v>
      </c>
      <c r="D14" s="36">
        <v>10000</v>
      </c>
      <c r="E14" t="s">
        <v>330</v>
      </c>
      <c r="G14" s="62" t="s">
        <v>331</v>
      </c>
      <c r="J14" s="65"/>
      <c r="K14" s="62"/>
      <c r="N14" s="65"/>
      <c r="O14" s="62"/>
    </row>
    <row r="15" spans="2:18">
      <c r="G15" s="62"/>
      <c r="H15" s="66">
        <f>SUM(H3:H12)/population_CH</f>
        <v>846.04686408466671</v>
      </c>
      <c r="J15" s="67">
        <f>SUM(J3:J13)/population_CH</f>
        <v>2.38689630495</v>
      </c>
      <c r="K15" s="62"/>
      <c r="L15" s="66">
        <f>SUM(L3:L12)/population_CH</f>
        <v>259.57853857676366</v>
      </c>
      <c r="N15" s="67">
        <f>SUM(N3:N13)/population_CH</f>
        <v>0.43234668749999994</v>
      </c>
      <c r="O15" s="62"/>
      <c r="P15" s="66">
        <f>SUM(P3:P12)/population_CH</f>
        <v>2607.6607378494914</v>
      </c>
      <c r="R15" s="66">
        <f>SUM(R3:R13)/population_CH</f>
        <v>3.6736184727272732</v>
      </c>
    </row>
    <row r="16" spans="2:18">
      <c r="C16" s="36">
        <f>D10*10+D11*25+D13*50+D12*100+D14*300</f>
        <v>14500000</v>
      </c>
      <c r="D16" s="36">
        <f>D11*3+D13*8+D12*20+D12*30+D10*1</f>
        <v>1820000</v>
      </c>
      <c r="E16" s="36">
        <f>5000000*0.3</f>
        <v>1500000</v>
      </c>
      <c r="G16" s="62"/>
      <c r="H16" s="47" t="s">
        <v>338</v>
      </c>
      <c r="J16" s="63" t="s">
        <v>339</v>
      </c>
      <c r="K16" s="60"/>
      <c r="L16" s="47" t="s">
        <v>338</v>
      </c>
      <c r="M16" s="3"/>
      <c r="N16" s="63" t="s">
        <v>339</v>
      </c>
      <c r="O16" s="60"/>
      <c r="P16" s="47" t="s">
        <v>338</v>
      </c>
      <c r="Q16" s="3"/>
      <c r="R16" s="3" t="s">
        <v>339</v>
      </c>
    </row>
    <row r="17" spans="2:18">
      <c r="J17" s="3"/>
      <c r="K17" s="3"/>
      <c r="L17" s="3"/>
      <c r="M17" s="3"/>
      <c r="N17" s="3"/>
      <c r="O17" s="3"/>
      <c r="P17" s="3"/>
      <c r="Q17" s="3"/>
      <c r="R17" s="3"/>
    </row>
    <row r="18" spans="2:18">
      <c r="B18" t="s">
        <v>340</v>
      </c>
      <c r="C18" s="36">
        <v>8800000</v>
      </c>
    </row>
    <row r="23" spans="2:18">
      <c r="G23" s="69"/>
    </row>
    <row r="24" spans="2:18">
      <c r="G24" s="69"/>
    </row>
    <row r="25" spans="2:18">
      <c r="D25" t="s">
        <v>338</v>
      </c>
      <c r="E25" t="s">
        <v>341</v>
      </c>
    </row>
    <row r="26" spans="2:18">
      <c r="C26" t="s">
        <v>217</v>
      </c>
      <c r="D26" s="59">
        <f>ROUND(H15/10,0)*10</f>
        <v>850</v>
      </c>
      <c r="E26" s="58">
        <f>ROUND(J15,1)</f>
        <v>2.4</v>
      </c>
      <c r="F26" s="59"/>
    </row>
    <row r="27" spans="2:18">
      <c r="C27" t="s">
        <v>342</v>
      </c>
      <c r="D27" s="59">
        <f>ROUND(L15/10,0)*10</f>
        <v>260</v>
      </c>
      <c r="E27" s="58">
        <f>ROUND(N15,1)</f>
        <v>0.4</v>
      </c>
      <c r="F27" s="59"/>
    </row>
    <row r="28" spans="2:18">
      <c r="C28" t="s">
        <v>307</v>
      </c>
      <c r="D28" s="59">
        <f>ROUND(P15/10,0)*10</f>
        <v>2610</v>
      </c>
      <c r="E28" s="58">
        <f>ROUND(R15,1)</f>
        <v>3.7</v>
      </c>
      <c r="F28" s="59"/>
    </row>
  </sheetData>
  <mergeCells count="3">
    <mergeCell ref="G1:J1"/>
    <mergeCell ref="K1:N1"/>
    <mergeCell ref="O1:R1"/>
  </mergeCells>
  <hyperlinks>
    <hyperlink ref="E11" r:id="rId1" xr:uid="{5202E076-6E32-4D64-88AF-907EB2F29CA3}"/>
    <hyperlink ref="E3" r:id="rId2" xr:uid="{51FBC02A-26A4-4133-831A-E6EEB5454125}"/>
    <hyperlink ref="F3" r:id="rId3" xr:uid="{47B085B3-3ED2-4C23-B349-E8A4D81502D8}"/>
    <hyperlink ref="E4" r:id="rId4" xr:uid="{46D20181-968D-44A7-B32A-05D2D39F1819}"/>
    <hyperlink ref="E5" r:id="rId5" xr:uid="{19B86392-D014-44D6-AA2C-D218B219A923}"/>
    <hyperlink ref="E7" r:id="rId6" xr:uid="{45A83516-D7C5-4AED-BD79-87BD49DD0D55}"/>
    <hyperlink ref="E8" r:id="rId7" location="topicOverview" xr:uid="{D7CC3812-72A9-49FA-83A8-EA822116BCE2}"/>
    <hyperlink ref="F8" r:id="rId8" xr:uid="{983E07DE-B42D-40A9-892C-52AF6673ACE7}"/>
  </hyperlinks>
  <pageMargins left="0.7" right="0.7" top="0.75" bottom="0.75" header="0.3" footer="0.3"/>
  <pageSetup paperSize="9" orientation="portrait" verticalDpi="0" r:id="rId9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Q63"/>
  <sheetViews>
    <sheetView workbookViewId="0">
      <selection activeCell="J19" sqref="J19"/>
    </sheetView>
  </sheetViews>
  <sheetFormatPr defaultRowHeight="14.4"/>
  <cols>
    <col min="2" max="2" width="39.44140625" customWidth="1"/>
    <col min="3" max="3" width="9.109375" customWidth="1"/>
    <col min="4" max="4" width="12.77734375" customWidth="1"/>
    <col min="5" max="5" width="13.5546875" customWidth="1"/>
    <col min="6" max="6" width="12.77734375" customWidth="1"/>
    <col min="7" max="7" width="14.21875" customWidth="1"/>
    <col min="8" max="8" width="11.77734375" customWidth="1"/>
    <col min="9" max="9" width="13.44140625" customWidth="1"/>
    <col min="10" max="10" width="12" customWidth="1"/>
    <col min="11" max="11" width="10.5546875" customWidth="1"/>
    <col min="12" max="12" width="10" customWidth="1"/>
    <col min="13" max="13" width="10.5546875" customWidth="1"/>
  </cols>
  <sheetData>
    <row r="1" spans="2:17" ht="14.55" customHeight="1">
      <c r="D1" s="2"/>
      <c r="E1" s="2"/>
      <c r="F1" s="2"/>
      <c r="G1" s="2"/>
      <c r="H1" s="2"/>
      <c r="I1" s="2"/>
      <c r="J1" s="2"/>
      <c r="K1" s="3"/>
      <c r="L1" s="3"/>
      <c r="M1" s="3"/>
      <c r="Q1" s="2"/>
    </row>
    <row r="2" spans="2:17" ht="17.55" customHeight="1">
      <c r="D2" s="6" t="s">
        <v>343</v>
      </c>
      <c r="E2" s="6" t="s">
        <v>492</v>
      </c>
      <c r="F2" t="s">
        <v>156</v>
      </c>
      <c r="G2" s="6" t="s">
        <v>219</v>
      </c>
      <c r="H2" s="6"/>
      <c r="I2" s="6" t="s">
        <v>177</v>
      </c>
      <c r="J2" s="7"/>
      <c r="K2" s="7"/>
      <c r="L2" s="7"/>
      <c r="M2" s="7"/>
    </row>
    <row r="3" spans="2:17" ht="15" customHeight="1">
      <c r="B3" s="45" t="s">
        <v>344</v>
      </c>
      <c r="D3">
        <v>800</v>
      </c>
      <c r="E3">
        <v>1500</v>
      </c>
      <c r="F3">
        <f>E3*exchange_CHF_USD</f>
        <v>1365</v>
      </c>
      <c r="G3">
        <v>2500</v>
      </c>
      <c r="I3" t="s">
        <v>345</v>
      </c>
    </row>
    <row r="4" spans="2:17">
      <c r="B4" s="45" t="s">
        <v>346</v>
      </c>
      <c r="D4">
        <v>6</v>
      </c>
      <c r="E4">
        <v>11</v>
      </c>
      <c r="G4">
        <v>16</v>
      </c>
      <c r="I4" t="s">
        <v>347</v>
      </c>
    </row>
    <row r="5" spans="2:17">
      <c r="B5" s="45" t="s">
        <v>348</v>
      </c>
      <c r="D5">
        <v>20000</v>
      </c>
      <c r="E5">
        <v>15000</v>
      </c>
      <c r="G5">
        <v>10000</v>
      </c>
      <c r="I5" s="41" t="s">
        <v>349</v>
      </c>
      <c r="J5" s="42" t="s">
        <v>350</v>
      </c>
      <c r="K5" s="5" t="s">
        <v>351</v>
      </c>
    </row>
    <row r="6" spans="2:17">
      <c r="B6" s="45" t="s">
        <v>352</v>
      </c>
      <c r="D6" s="17">
        <v>0.01</v>
      </c>
      <c r="E6" s="17">
        <v>0.02</v>
      </c>
      <c r="F6" s="17"/>
      <c r="G6" s="43">
        <v>0.05</v>
      </c>
      <c r="I6" t="s">
        <v>204</v>
      </c>
    </row>
    <row r="7" spans="2:17" ht="15" thickBot="1">
      <c r="B7" s="46" t="s">
        <v>353</v>
      </c>
      <c r="D7" s="50">
        <v>0.4</v>
      </c>
      <c r="E7" s="50">
        <v>0.4</v>
      </c>
      <c r="F7" s="50"/>
      <c r="G7" s="50">
        <v>0.4</v>
      </c>
      <c r="I7" t="s">
        <v>354</v>
      </c>
    </row>
    <row r="8" spans="2:17" ht="15" thickBot="1">
      <c r="B8" s="48" t="s">
        <v>355</v>
      </c>
      <c r="D8" s="47">
        <f>annual_operating_hours*(D4*D7/1000+1/D5*D3)+D3*D6</f>
        <v>113.8304</v>
      </c>
      <c r="E8" s="47">
        <f>annual_operating_hours*(E4*E7/1000+1/E5*E3)+E3*E6</f>
        <v>290.58240000000001</v>
      </c>
      <c r="F8" s="47">
        <f>E8*exchange_CHF_USD</f>
        <v>264.42998399999999</v>
      </c>
      <c r="G8" s="47">
        <f>annual_operating_hours*(G4*G7/1000+1/G5*G3)+G3*G6</f>
        <v>764.97440000000006</v>
      </c>
    </row>
    <row r="9" spans="2:17">
      <c r="B9" t="s">
        <v>356</v>
      </c>
      <c r="C9">
        <f>52*6*8</f>
        <v>2496</v>
      </c>
      <c r="I9">
        <f>E5/annual_operating_hours</f>
        <v>6.009615384615385</v>
      </c>
      <c r="J9" t="s">
        <v>357</v>
      </c>
    </row>
    <row r="10" spans="2:17" ht="46.05" customHeight="1">
      <c r="E10" s="6" t="s">
        <v>358</v>
      </c>
      <c r="F10" s="6" t="s">
        <v>466</v>
      </c>
      <c r="I10" t="s">
        <v>359</v>
      </c>
    </row>
    <row r="11" spans="2:17">
      <c r="B11" t="s">
        <v>360</v>
      </c>
      <c r="C11">
        <f>8*5*22</f>
        <v>880</v>
      </c>
      <c r="D11" s="47">
        <f>$D$8/annual_operating_hours*C11</f>
        <v>40.132512820512815</v>
      </c>
      <c r="E11" s="47">
        <f>C11*(E4*E7/1000)+E3/10+E3*E6</f>
        <v>183.87200000000001</v>
      </c>
      <c r="F11" s="47">
        <f>$E$8/annual_operating_hours*C11</f>
        <v>102.44892307692308</v>
      </c>
      <c r="G11" s="47">
        <f>$G$8/annual_operating_hours*C11</f>
        <v>269.70251282051282</v>
      </c>
      <c r="I11">
        <f>E5/C11</f>
        <v>17.045454545454547</v>
      </c>
      <c r="J11" s="55" t="s">
        <v>361</v>
      </c>
      <c r="K11" s="55"/>
      <c r="L11" s="55"/>
    </row>
    <row r="12" spans="2:17">
      <c r="B12" t="s">
        <v>362</v>
      </c>
      <c r="C12">
        <f>8*7*22</f>
        <v>1232</v>
      </c>
      <c r="D12" s="47">
        <f>$D$8/annual_operating_hours*C12</f>
        <v>56.185517948717944</v>
      </c>
      <c r="E12" s="47">
        <f>C12*(E4*E7/1000)+E3/10+E3*E6</f>
        <v>185.42080000000001</v>
      </c>
      <c r="F12" s="47">
        <f>$E$8/annual_operating_hours*C12</f>
        <v>143.42849230769232</v>
      </c>
      <c r="G12" s="47">
        <f>$G$8/annual_operating_hours*C12</f>
        <v>377.58351794871794</v>
      </c>
      <c r="I12">
        <f>E5/C12</f>
        <v>12.175324675324676</v>
      </c>
    </row>
    <row r="13" spans="2:17">
      <c r="B13" s="50" t="s">
        <v>363</v>
      </c>
      <c r="C13">
        <f>4*6*22</f>
        <v>528</v>
      </c>
      <c r="D13" s="47">
        <f>$D$8/annual_operating_hours*C13</f>
        <v>24.07950769230769</v>
      </c>
      <c r="E13" s="47">
        <f>C13*(E4*E7/1000)+E3/10+E3*E6</f>
        <v>182.32319999999999</v>
      </c>
      <c r="F13" s="47">
        <f>$E$8/annual_operating_hours*C13</f>
        <v>61.469353846153851</v>
      </c>
      <c r="G13" s="47">
        <f>$G$8/annual_operating_hours*C13</f>
        <v>161.8215076923077</v>
      </c>
      <c r="I13">
        <f>E5/C13</f>
        <v>28.40909090909091</v>
      </c>
    </row>
    <row r="14" spans="2:17">
      <c r="B14" s="50" t="s">
        <v>364</v>
      </c>
      <c r="C14">
        <f>3*6*22</f>
        <v>396</v>
      </c>
      <c r="D14" s="47">
        <f>$D$8/annual_operating_hours*C14</f>
        <v>18.059630769230768</v>
      </c>
      <c r="E14" s="47">
        <f>C14*(E4*E7/1000)+E3/10+E3*E6</f>
        <v>181.7424</v>
      </c>
      <c r="F14" s="47">
        <f>$E$8/annual_operating_hours*C14</f>
        <v>46.102015384615385</v>
      </c>
      <c r="G14" s="47">
        <f>$G$8/annual_operating_hours*C14</f>
        <v>121.36613076923076</v>
      </c>
      <c r="I14">
        <f>E5/C14</f>
        <v>37.878787878787875</v>
      </c>
    </row>
    <row r="17" spans="2:9">
      <c r="C17" t="s">
        <v>365</v>
      </c>
      <c r="D17">
        <v>0.91</v>
      </c>
      <c r="E17" t="s">
        <v>156</v>
      </c>
    </row>
    <row r="18" spans="2:9">
      <c r="C18" t="s">
        <v>365</v>
      </c>
      <c r="D18">
        <v>0.93</v>
      </c>
      <c r="E18" t="s">
        <v>158</v>
      </c>
    </row>
    <row r="20" spans="2:9" ht="15.6">
      <c r="B20" s="7"/>
    </row>
    <row r="22" spans="2:9">
      <c r="B22" t="s">
        <v>483</v>
      </c>
      <c r="C22" s="86">
        <f>0.00000028/8</f>
        <v>3.5000000000000002E-8</v>
      </c>
      <c r="D22" t="s">
        <v>480</v>
      </c>
      <c r="E22" s="83">
        <f>C22*QALY_CHF</f>
        <v>6.1250000000000002E-3</v>
      </c>
      <c r="F22" t="s">
        <v>482</v>
      </c>
      <c r="H22" t="s">
        <v>490</v>
      </c>
      <c r="I22" t="s">
        <v>485</v>
      </c>
    </row>
    <row r="23" spans="2:9">
      <c r="H23" t="s">
        <v>491</v>
      </c>
      <c r="I23" t="s">
        <v>486</v>
      </c>
    </row>
    <row r="24" spans="2:9">
      <c r="B24" t="s">
        <v>481</v>
      </c>
      <c r="C24" s="82">
        <f>E22*410*3*22</f>
        <v>165.74249999999998</v>
      </c>
      <c r="D24" t="s">
        <v>484</v>
      </c>
      <c r="I24" t="s">
        <v>487</v>
      </c>
    </row>
    <row r="26" spans="2:9">
      <c r="H26" t="s">
        <v>489</v>
      </c>
      <c r="I26" t="s">
        <v>488</v>
      </c>
    </row>
    <row r="35" spans="2:8">
      <c r="B35" t="s">
        <v>366</v>
      </c>
      <c r="E35" t="s">
        <v>471</v>
      </c>
      <c r="G35" t="s">
        <v>469</v>
      </c>
      <c r="H35" t="s">
        <v>470</v>
      </c>
    </row>
    <row r="36" spans="2:8">
      <c r="B36" t="s">
        <v>467</v>
      </c>
      <c r="C36" s="5" t="s">
        <v>367</v>
      </c>
    </row>
    <row r="37" spans="2:8">
      <c r="B37" t="s">
        <v>468</v>
      </c>
      <c r="C37" t="s">
        <v>368</v>
      </c>
    </row>
    <row r="38" spans="2:8">
      <c r="B38" t="s">
        <v>369</v>
      </c>
    </row>
    <row r="39" spans="2:8">
      <c r="B39" t="s">
        <v>360</v>
      </c>
      <c r="C39">
        <f>8*5*22</f>
        <v>880</v>
      </c>
      <c r="E39" s="47">
        <f>600/3+60*C39*0.4/1000</f>
        <v>221.12</v>
      </c>
      <c r="F39" s="47"/>
      <c r="G39" s="51">
        <f>100/3+60*C39*0.4/1000</f>
        <v>54.453333333333333</v>
      </c>
      <c r="H39" s="51">
        <f>(3*E39+7*G39)/10</f>
        <v>104.45333333333333</v>
      </c>
    </row>
    <row r="40" spans="2:8">
      <c r="B40" t="s">
        <v>362</v>
      </c>
      <c r="C40">
        <f>8*7*22</f>
        <v>1232</v>
      </c>
      <c r="E40" s="47">
        <f>600/3+60*C40*0.4/1000</f>
        <v>229.56800000000001</v>
      </c>
      <c r="F40" s="47"/>
      <c r="G40" s="51">
        <f>100/3+60*C40*0.4/1000</f>
        <v>62.901333333333341</v>
      </c>
      <c r="H40" s="51">
        <f t="shared" ref="H40:H42" si="0">(3*E40+7*G40)/10</f>
        <v>112.90133333333333</v>
      </c>
    </row>
    <row r="41" spans="2:8">
      <c r="B41" t="s">
        <v>363</v>
      </c>
      <c r="C41">
        <f>4*6*22</f>
        <v>528</v>
      </c>
      <c r="E41" s="47">
        <f t="shared" ref="E41:E42" si="1">600/3+60*C41*0.4/1000</f>
        <v>212.672</v>
      </c>
      <c r="F41" s="47"/>
      <c r="G41" s="51">
        <f>100/3+60*C41*0.4/1000</f>
        <v>46.00533333333334</v>
      </c>
      <c r="H41" s="51">
        <f t="shared" si="0"/>
        <v>96.005333333333326</v>
      </c>
    </row>
    <row r="42" spans="2:8">
      <c r="B42" t="s">
        <v>364</v>
      </c>
      <c r="C42">
        <f>3*6*22</f>
        <v>396</v>
      </c>
      <c r="E42" s="47">
        <f t="shared" si="1"/>
        <v>209.50399999999999</v>
      </c>
      <c r="F42" s="47"/>
      <c r="G42" s="51">
        <f>100/3+60*C42*0.4/1000</f>
        <v>42.837333333333333</v>
      </c>
      <c r="H42" s="51">
        <f t="shared" si="0"/>
        <v>92.837333333333319</v>
      </c>
    </row>
    <row r="45" spans="2:8">
      <c r="E45" s="52"/>
      <c r="F45" s="52"/>
    </row>
    <row r="52" spans="2:13">
      <c r="E52" t="s">
        <v>370</v>
      </c>
      <c r="G52" t="s">
        <v>371</v>
      </c>
      <c r="I52" t="s">
        <v>372</v>
      </c>
      <c r="J52" t="s">
        <v>373</v>
      </c>
      <c r="L52" t="s">
        <v>374</v>
      </c>
      <c r="M52" s="53" t="s">
        <v>375</v>
      </c>
    </row>
    <row r="53" spans="2:13">
      <c r="B53" s="9" t="s">
        <v>166</v>
      </c>
      <c r="C53" s="9" t="s">
        <v>271</v>
      </c>
      <c r="E53">
        <f>lamps_irishpub</f>
        <v>9</v>
      </c>
      <c r="G53" s="28">
        <f>Scenarios!P3</f>
        <v>8</v>
      </c>
      <c r="I53" s="51">
        <f>E53*costs_3h6d</f>
        <v>1635.6816000000001</v>
      </c>
      <c r="J53" s="51">
        <f>G53*E42</f>
        <v>1676.0319999999999</v>
      </c>
      <c r="L53" s="51">
        <f>J53-I53</f>
        <v>40.350399999999809</v>
      </c>
      <c r="M53" s="29">
        <f>J53/I53</f>
        <v>1.024668859758525</v>
      </c>
    </row>
    <row r="54" spans="2:13">
      <c r="C54" t="s">
        <v>272</v>
      </c>
      <c r="E54">
        <f>lamps_fastfood</f>
        <v>13</v>
      </c>
      <c r="G54" s="28">
        <f>Scenarios!P11</f>
        <v>11</v>
      </c>
      <c r="I54" s="51">
        <f>E54*costs_8h7d</f>
        <v>2410.4704000000002</v>
      </c>
      <c r="J54" s="51">
        <f>G54*E40</f>
        <v>2525.248</v>
      </c>
      <c r="L54" s="51">
        <f t="shared" ref="L54:L63" si="2">J54-I54</f>
        <v>114.77759999999989</v>
      </c>
      <c r="M54" s="29">
        <f t="shared" ref="M54:M63" si="3">J54/I54</f>
        <v>1.047616266103081</v>
      </c>
    </row>
    <row r="55" spans="2:13">
      <c r="C55" t="s">
        <v>274</v>
      </c>
      <c r="E55">
        <f>lamps_queue</f>
        <v>1</v>
      </c>
      <c r="G55" s="28">
        <f>Scenarios!P21</f>
        <v>1</v>
      </c>
      <c r="I55" s="51">
        <f>E55*costs_8h7d</f>
        <v>185.42080000000001</v>
      </c>
      <c r="J55" s="51">
        <f>G55*E40</f>
        <v>229.56800000000001</v>
      </c>
      <c r="L55" s="51">
        <f t="shared" si="2"/>
        <v>44.147199999999998</v>
      </c>
      <c r="M55" s="29">
        <f t="shared" si="3"/>
        <v>1.2380919508490957</v>
      </c>
    </row>
    <row r="56" spans="2:13">
      <c r="C56" t="s">
        <v>72</v>
      </c>
      <c r="E56">
        <f>Scenarios!K24</f>
        <v>7</v>
      </c>
      <c r="G56" s="28">
        <f>Scenarios!P23</f>
        <v>6</v>
      </c>
      <c r="I56" s="51">
        <f>E56*costs_4h6d</f>
        <v>1276.2623999999998</v>
      </c>
      <c r="J56" s="51">
        <f>G56*E41</f>
        <v>1276.0319999999999</v>
      </c>
      <c r="L56" s="51">
        <f t="shared" si="2"/>
        <v>-0.23039999999991778</v>
      </c>
      <c r="M56" s="29">
        <f t="shared" si="3"/>
        <v>0.99981947286075346</v>
      </c>
    </row>
    <row r="57" spans="2:13">
      <c r="B57" t="s">
        <v>79</v>
      </c>
      <c r="C57" t="s">
        <v>80</v>
      </c>
      <c r="E57">
        <f>lamps_doctorsoffice</f>
        <v>1</v>
      </c>
      <c r="G57" s="28">
        <f>Scenarios!P29</f>
        <v>1</v>
      </c>
      <c r="I57" s="51">
        <f>E57*costs_8h5d</f>
        <v>183.87200000000001</v>
      </c>
      <c r="J57" s="51">
        <f>G57*E39</f>
        <v>221.12</v>
      </c>
      <c r="L57" s="51">
        <f t="shared" si="2"/>
        <v>37.24799999999999</v>
      </c>
      <c r="M57" s="29">
        <f t="shared" si="3"/>
        <v>1.2025757048381482</v>
      </c>
    </row>
    <row r="58" spans="2:13">
      <c r="B58" t="s">
        <v>89</v>
      </c>
      <c r="C58" t="s">
        <v>275</v>
      </c>
      <c r="E58">
        <f>Scenarios!K35</f>
        <v>1</v>
      </c>
      <c r="G58" s="28">
        <f>Scenarios!P35</f>
        <v>1</v>
      </c>
      <c r="I58" s="51">
        <f>E58*costs_8h5d</f>
        <v>183.87200000000001</v>
      </c>
      <c r="J58" s="51">
        <f>G58*E39</f>
        <v>221.12</v>
      </c>
      <c r="L58" s="51">
        <f t="shared" si="2"/>
        <v>37.24799999999999</v>
      </c>
      <c r="M58" s="29">
        <f t="shared" si="3"/>
        <v>1.2025757048381482</v>
      </c>
    </row>
    <row r="59" spans="2:13">
      <c r="C59" t="s">
        <v>276</v>
      </c>
      <c r="E59">
        <f>Scenarios!K39</f>
        <v>1</v>
      </c>
      <c r="G59" s="28">
        <f>Scenarios!P39</f>
        <v>1</v>
      </c>
      <c r="I59" s="51">
        <f>E59*costs_8h5d</f>
        <v>183.87200000000001</v>
      </c>
      <c r="J59" s="51">
        <f>G59*E39</f>
        <v>221.12</v>
      </c>
      <c r="L59" s="51">
        <f t="shared" si="2"/>
        <v>37.24799999999999</v>
      </c>
      <c r="M59" s="29">
        <f t="shared" si="3"/>
        <v>1.2025757048381482</v>
      </c>
    </row>
    <row r="60" spans="2:13">
      <c r="C60" t="s">
        <v>277</v>
      </c>
      <c r="E60">
        <f>lamps_spitalthun</f>
        <v>5</v>
      </c>
      <c r="G60" s="28">
        <f>Scenarios!P41</f>
        <v>4</v>
      </c>
      <c r="I60" s="51">
        <f>E60*costs_8h7d</f>
        <v>927.10400000000004</v>
      </c>
      <c r="J60" s="51">
        <f>G60*E40</f>
        <v>918.27200000000005</v>
      </c>
      <c r="L60" s="51">
        <f t="shared" si="2"/>
        <v>-8.8319999999999936</v>
      </c>
      <c r="M60" s="29">
        <f t="shared" si="3"/>
        <v>0.9904735606792765</v>
      </c>
    </row>
    <row r="61" spans="2:13">
      <c r="B61" s="9" t="s">
        <v>75</v>
      </c>
      <c r="C61" s="9" t="s">
        <v>103</v>
      </c>
      <c r="E61">
        <f>lamps_office17</f>
        <v>1</v>
      </c>
      <c r="G61" s="28">
        <f>Scenarios!P47</f>
        <v>1</v>
      </c>
      <c r="I61" s="51">
        <f>E61*costs_8h5d</f>
        <v>183.87200000000001</v>
      </c>
      <c r="J61" s="51">
        <f>G61*E39</f>
        <v>221.12</v>
      </c>
      <c r="L61" s="51">
        <f t="shared" si="2"/>
        <v>37.24799999999999</v>
      </c>
      <c r="M61" s="29">
        <f t="shared" si="3"/>
        <v>1.2025757048381482</v>
      </c>
    </row>
    <row r="62" spans="2:13">
      <c r="C62" t="s">
        <v>109</v>
      </c>
      <c r="E62">
        <f>lamps_office08</f>
        <v>8</v>
      </c>
      <c r="G62" s="28">
        <f>Scenarios!P49</f>
        <v>7</v>
      </c>
      <c r="I62" s="51">
        <f>E62*costs_8h5d</f>
        <v>1470.9760000000001</v>
      </c>
      <c r="J62" s="51">
        <f>G62*E39</f>
        <v>1547.8400000000001</v>
      </c>
      <c r="L62" s="51">
        <f t="shared" si="2"/>
        <v>76.864000000000033</v>
      </c>
      <c r="M62" s="29">
        <f t="shared" si="3"/>
        <v>1.0522537417333797</v>
      </c>
    </row>
    <row r="63" spans="2:13">
      <c r="C63" t="s">
        <v>112</v>
      </c>
      <c r="E63">
        <f>lamps_office16</f>
        <v>3</v>
      </c>
      <c r="G63" s="28">
        <f>Scenarios!P52</f>
        <v>3</v>
      </c>
      <c r="I63" s="51">
        <f>E63*costs_8h5d</f>
        <v>551.61599999999999</v>
      </c>
      <c r="J63" s="51">
        <f>G63*E39</f>
        <v>663.36</v>
      </c>
      <c r="L63" s="51">
        <f t="shared" si="2"/>
        <v>111.74400000000003</v>
      </c>
      <c r="M63" s="29">
        <f t="shared" si="3"/>
        <v>1.2025757048381482</v>
      </c>
    </row>
  </sheetData>
  <hyperlinks>
    <hyperlink ref="K5" r:id="rId1" xr:uid="{00000000-0004-0000-0500-000000000000}"/>
    <hyperlink ref="J5" r:id="rId2" xr:uid="{00000000-0004-0000-0500-000001000000}"/>
    <hyperlink ref="C36" r:id="rId3" xr:uid="{5839A8F8-A4CD-4A7C-B05C-88C4514435DE}"/>
  </hyperlinks>
  <pageMargins left="0.7" right="0.7" top="0.75" bottom="0.75" header="0.3" footer="0.3"/>
  <pageSetup paperSize="9" orientation="portrait" r:id="rId4"/>
  <legacy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a781bbb-9bec-4fa0-9914-53d523e8ec38">
      <Terms xmlns="http://schemas.microsoft.com/office/infopath/2007/PartnerControls"/>
    </lcf76f155ced4ddcb4097134ff3c332f>
    <TaxCatchAll xmlns="2eafdfa7-2ef8-474f-8249-9b95527dab4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52A2DF4103ED24AB2E73E8ECAF06608" ma:contentTypeVersion="13" ma:contentTypeDescription="Ein neues Dokument erstellen." ma:contentTypeScope="" ma:versionID="ef6d6c3c37f1771e678dcdc09f5aa5fe">
  <xsd:schema xmlns:xsd="http://www.w3.org/2001/XMLSchema" xmlns:xs="http://www.w3.org/2001/XMLSchema" xmlns:p="http://schemas.microsoft.com/office/2006/metadata/properties" xmlns:ns2="ba781bbb-9bec-4fa0-9914-53d523e8ec38" xmlns:ns3="2eafdfa7-2ef8-474f-8249-9b95527dab41" targetNamespace="http://schemas.microsoft.com/office/2006/metadata/properties" ma:root="true" ma:fieldsID="436e798fbf8b540fafd948701489582c" ns2:_="" ns3:_="">
    <xsd:import namespace="ba781bbb-9bec-4fa0-9914-53d523e8ec38"/>
    <xsd:import namespace="2eafdfa7-2ef8-474f-8249-9b95527dab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781bbb-9bec-4fa0-9914-53d523e8ec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markierungen" ma:readOnly="false" ma:fieldId="{5cf76f15-5ced-4ddc-b409-7134ff3c332f}" ma:taxonomyMulti="true" ma:sspId="cf26c3c7-8586-4ce3-bb0d-66a1bbea79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afdfa7-2ef8-474f-8249-9b95527dab4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7f2cfb3-7253-42eb-a768-65f99722f7be}" ma:internalName="TaxCatchAll" ma:showField="CatchAllData" ma:web="2eafdfa7-2ef8-474f-8249-9b95527dab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CC3DF0-6789-44B2-BDAC-E886427BB4B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2eafdfa7-2ef8-474f-8249-9b95527dab41"/>
    <ds:schemaRef ds:uri="ba781bbb-9bec-4fa0-9914-53d523e8ec3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464B406-662E-4481-AAB4-82D0D4EF641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C32F7F-5F47-426F-BBF5-8F6A97F577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781bbb-9bec-4fa0-9914-53d523e8ec38"/>
    <ds:schemaRef ds:uri="2eafdfa7-2ef8-474f-8249-9b95527dab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74</vt:i4>
      </vt:variant>
    </vt:vector>
  </HeadingPairs>
  <TitlesOfParts>
    <vt:vector size="85" baseType="lpstr">
      <vt:lpstr>README</vt:lpstr>
      <vt:lpstr>Scenarios</vt:lpstr>
      <vt:lpstr>Monetary Benefits</vt:lpstr>
      <vt:lpstr>Assumptions Benefits</vt:lpstr>
      <vt:lpstr>Monetary Benefits calc</vt:lpstr>
      <vt:lpstr>Calc. without intangible Ben.</vt:lpstr>
      <vt:lpstr>Per Capita benefits</vt:lpstr>
      <vt:lpstr>Per Capita ben. wo intangible</vt:lpstr>
      <vt:lpstr>Costs</vt:lpstr>
      <vt:lpstr>Graphs</vt:lpstr>
      <vt:lpstr>Selected infectious diseases</vt:lpstr>
      <vt:lpstr>annual_operating_hours</vt:lpstr>
      <vt:lpstr>cost_hosp_GER_covid</vt:lpstr>
      <vt:lpstr>Cost_of_disability_case_for_healthcare_CH</vt:lpstr>
      <vt:lpstr>Cost_of_disability_case_for_healthcare_GER</vt:lpstr>
      <vt:lpstr>Cost_of_hospitalisation_CH</vt:lpstr>
      <vt:lpstr>Cost_of_hospitalisation_CH_normalwinter</vt:lpstr>
      <vt:lpstr>Cost_of_hospitalisation_GER</vt:lpstr>
      <vt:lpstr>Cost_of_hospitalisation_GER_normalwinter</vt:lpstr>
      <vt:lpstr>costs_3h6d</vt:lpstr>
      <vt:lpstr>costs_4h6d</vt:lpstr>
      <vt:lpstr>costs_8h5d</vt:lpstr>
      <vt:lpstr>costs_8h7d</vt:lpstr>
      <vt:lpstr>disability_induced_severe</vt:lpstr>
      <vt:lpstr>exchange_CHF_USD</vt:lpstr>
      <vt:lpstr>exchange_EUR_USD</vt:lpstr>
      <vt:lpstr>Hosp_18_59y</vt:lpstr>
      <vt:lpstr>hosp_normal_winter_overall</vt:lpstr>
      <vt:lpstr>'Calc. without intangible Ben.'!hospitalisation_ch</vt:lpstr>
      <vt:lpstr>hospitalisation_ch</vt:lpstr>
      <vt:lpstr>'Calc. without intangible Ben.'!hospitalisation_de</vt:lpstr>
      <vt:lpstr>hospitalisation_de</vt:lpstr>
      <vt:lpstr>Hospitalisation_rate_18_59y_covid</vt:lpstr>
      <vt:lpstr>Hospitalisation_rate_18_59y_severe</vt:lpstr>
      <vt:lpstr>Hospitalisation_rate_overall_covid</vt:lpstr>
      <vt:lpstr>Hospitalisation_rate_overall_severe</vt:lpstr>
      <vt:lpstr>lamps_doctorsoffice</vt:lpstr>
      <vt:lpstr>lamps_fastfood</vt:lpstr>
      <vt:lpstr>lamps_irishpub</vt:lpstr>
      <vt:lpstr>lamps_office08</vt:lpstr>
      <vt:lpstr>lamps_office16</vt:lpstr>
      <vt:lpstr>lamps_office17</vt:lpstr>
      <vt:lpstr>lamps_queue</vt:lpstr>
      <vt:lpstr>lamps_restaurant</vt:lpstr>
      <vt:lpstr>lamps_spitalthun</vt:lpstr>
      <vt:lpstr>Long_Covid</vt:lpstr>
      <vt:lpstr>Loss_of_productivity_per_sick_day_CH</vt:lpstr>
      <vt:lpstr>Loss_of_productivity_per_sick_day_GER</vt:lpstr>
      <vt:lpstr>loss_per_sick_day_CH</vt:lpstr>
      <vt:lpstr>loss_sick_day_GER</vt:lpstr>
      <vt:lpstr>Losses_from_disab_severe</vt:lpstr>
      <vt:lpstr>Losses_of_QALYs_Covid_case</vt:lpstr>
      <vt:lpstr>Losses_of_QALYs_Covid_hospitalisation</vt:lpstr>
      <vt:lpstr>Losses_of_QALYs_hosp_normalwinter</vt:lpstr>
      <vt:lpstr>Losses_of_QALYs_hosp_severe</vt:lpstr>
      <vt:lpstr>Losses_of_QALYs_infection_severe</vt:lpstr>
      <vt:lpstr>Losses_of_QALYs_long_Covid</vt:lpstr>
      <vt:lpstr>Losses_of_QALYs_normalwinter</vt:lpstr>
      <vt:lpstr>Mortality_18_59y_severe</vt:lpstr>
      <vt:lpstr>Mortality_18_59y_winter</vt:lpstr>
      <vt:lpstr>Mortality_Covid_overall</vt:lpstr>
      <vt:lpstr>Mortality_overall_per_infection</vt:lpstr>
      <vt:lpstr>Mortality_overall_per_infection_winter</vt:lpstr>
      <vt:lpstr>Mortality_overall_severe</vt:lpstr>
      <vt:lpstr>'Per Capita ben. wo intangible'!population_CH</vt:lpstr>
      <vt:lpstr>population_CH</vt:lpstr>
      <vt:lpstr>'Calc. without intangible Ben.'!prob_lc</vt:lpstr>
      <vt:lpstr>prob_lc</vt:lpstr>
      <vt:lpstr>QALY_CHF</vt:lpstr>
      <vt:lpstr>QALY_eur</vt:lpstr>
      <vt:lpstr>QALYs_lost_per_death_due_to_resp_infection</vt:lpstr>
      <vt:lpstr>QALYs_lost_per_death_normalwinter</vt:lpstr>
      <vt:lpstr>QALYs_lost_per_death_severe</vt:lpstr>
      <vt:lpstr>QUALYs_lost_per_death_covid</vt:lpstr>
      <vt:lpstr>Sick_days_per_case_of_disability</vt:lpstr>
      <vt:lpstr>Sick_days_per_Covid_hospitalisation</vt:lpstr>
      <vt:lpstr>Sick_days_per_Covid_infection</vt:lpstr>
      <vt:lpstr>Sick_days_per_hospitalisation_normalwinter</vt:lpstr>
      <vt:lpstr>Sick_days_per_infection___hospitalisation_severe</vt:lpstr>
      <vt:lpstr>Sick_days_per_infection_normalwinter</vt:lpstr>
      <vt:lpstr>Sick_days_per_infection_severe</vt:lpstr>
      <vt:lpstr>Sick_days_per_Long_Covid_case</vt:lpstr>
      <vt:lpstr>'Calc. without intangible Ben.'!symptomatic_case</vt:lpstr>
      <vt:lpstr>symptomatic_case</vt:lpstr>
      <vt:lpstr>symptomatic_Covid_case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 Chamaa, Marwan</dc:creator>
  <cp:keywords/>
  <dc:description/>
  <cp:lastModifiedBy>Editor YS</cp:lastModifiedBy>
  <cp:revision/>
  <dcterms:created xsi:type="dcterms:W3CDTF">2024-01-31T11:01:41Z</dcterms:created>
  <dcterms:modified xsi:type="dcterms:W3CDTF">2026-03-26T07:18:28Z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0x010100452A2DF4103ED24AB2E73E8ECAF06608</vt:lpwstr>
  </property>
  <property fmtid="{D5CDD505-2E9C-101B-9397-08002B2CF9AE}" pid="3" name="MediaServiceImageTags">
    <vt:lpwstr/>
  </property>
</Properties>
</file>