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innos\Downloads\"/>
    </mc:Choice>
  </mc:AlternateContent>
  <xr:revisionPtr revIDLastSave="0" documentId="8_{53AE4E39-394E-4A91-86BC-1726B140A541}" xr6:coauthVersionLast="47" xr6:coauthVersionMax="47" xr10:uidLastSave="{00000000-0000-0000-0000-000000000000}"/>
  <bookViews>
    <workbookView xWindow="28680" yWindow="-120" windowWidth="29040" windowHeight="15720" xr2:uid="{E16B3962-6D3A-4729-AF9F-968DCEA598EA}"/>
  </bookViews>
  <sheets>
    <sheet name="Table S1" sheetId="1" r:id="rId1"/>
    <sheet name="Table S2" sheetId="3" r:id="rId2"/>
    <sheet name=" Table S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4" i="4" l="1"/>
  <c r="AC23" i="4"/>
  <c r="AC22" i="4"/>
  <c r="AC21" i="4"/>
  <c r="AC20" i="4"/>
  <c r="AC19" i="4"/>
  <c r="AC18" i="4"/>
  <c r="AC17" i="4"/>
  <c r="AC16" i="4"/>
  <c r="AC15" i="4"/>
  <c r="AC14" i="4"/>
  <c r="AC13" i="4"/>
  <c r="AC12" i="4"/>
  <c r="AC11" i="4"/>
  <c r="AC10" i="4"/>
  <c r="AC9" i="4"/>
  <c r="AC8" i="4"/>
  <c r="AC7" i="4"/>
  <c r="AC6" i="4"/>
  <c r="AC5" i="4"/>
  <c r="AC4" i="4"/>
  <c r="AC3" i="4"/>
  <c r="AB59" i="3"/>
  <c r="U59" i="3"/>
  <c r="AB58" i="3"/>
  <c r="U58" i="3"/>
  <c r="AB57" i="3"/>
  <c r="U57" i="3"/>
  <c r="AB56" i="3"/>
  <c r="U56" i="3"/>
  <c r="AB55" i="3"/>
  <c r="U55" i="3"/>
  <c r="AB54" i="3"/>
  <c r="U54" i="3"/>
  <c r="AB53" i="3"/>
  <c r="U53" i="3"/>
  <c r="AB52" i="3"/>
  <c r="U52" i="3"/>
  <c r="AB51" i="3"/>
  <c r="U51" i="3"/>
  <c r="AB50" i="3"/>
  <c r="U50" i="3"/>
  <c r="AB49" i="3"/>
  <c r="U49" i="3"/>
  <c r="AB48" i="3"/>
  <c r="U48" i="3"/>
  <c r="AB47" i="3"/>
  <c r="U47" i="3"/>
  <c r="AB46" i="3"/>
  <c r="U46" i="3"/>
  <c r="AB45" i="3"/>
  <c r="U45" i="3"/>
  <c r="AB44" i="3"/>
  <c r="U44" i="3"/>
  <c r="AB43" i="3"/>
  <c r="U43" i="3"/>
  <c r="AB42" i="3"/>
  <c r="U42" i="3"/>
  <c r="AB41" i="3"/>
  <c r="U41" i="3"/>
  <c r="AB40" i="3"/>
  <c r="U40" i="3"/>
  <c r="AB39" i="3"/>
  <c r="U39" i="3"/>
  <c r="AB38" i="3"/>
  <c r="U38" i="3"/>
  <c r="AB37" i="3"/>
  <c r="U37" i="3"/>
  <c r="AB36" i="3"/>
  <c r="U36" i="3"/>
  <c r="AB35" i="3"/>
  <c r="U35" i="3"/>
  <c r="AB34" i="3"/>
  <c r="U34" i="3"/>
  <c r="AB33" i="3"/>
  <c r="U33" i="3"/>
  <c r="AB32" i="3"/>
  <c r="U32" i="3"/>
  <c r="AB31" i="3"/>
  <c r="U31" i="3"/>
  <c r="AB30" i="3"/>
  <c r="U30" i="3"/>
  <c r="AB29" i="3"/>
  <c r="U29" i="3"/>
  <c r="AB28" i="3"/>
  <c r="U28" i="3"/>
  <c r="AB27" i="3"/>
  <c r="U27" i="3"/>
  <c r="AB26" i="3"/>
  <c r="U26" i="3"/>
  <c r="AB25" i="3"/>
  <c r="AB24" i="3"/>
  <c r="U24" i="3"/>
  <c r="AB23" i="3"/>
  <c r="U23" i="3"/>
  <c r="AB22" i="3"/>
  <c r="U22" i="3"/>
  <c r="AB21" i="3"/>
  <c r="U21" i="3"/>
  <c r="AB20" i="3"/>
  <c r="U20" i="3"/>
  <c r="AB19" i="3"/>
  <c r="U19" i="3"/>
  <c r="AB18" i="3"/>
  <c r="U18" i="3"/>
  <c r="AB17" i="3"/>
  <c r="U17" i="3"/>
  <c r="AB16" i="3"/>
  <c r="U16" i="3"/>
  <c r="AB15" i="3"/>
  <c r="U15" i="3"/>
  <c r="AB14" i="3"/>
  <c r="U14" i="3"/>
  <c r="AB13" i="3"/>
  <c r="U13" i="3"/>
  <c r="AB12" i="3"/>
  <c r="U12" i="3"/>
  <c r="AB11" i="3"/>
  <c r="U11" i="3"/>
  <c r="AB10" i="3"/>
  <c r="U10" i="3"/>
  <c r="AB9" i="3"/>
  <c r="U9" i="3"/>
  <c r="AB8" i="3"/>
  <c r="U8" i="3"/>
  <c r="AB7" i="3"/>
  <c r="U7" i="3"/>
  <c r="AB6" i="3"/>
  <c r="U6" i="3"/>
  <c r="AB5" i="3"/>
  <c r="U5" i="3"/>
  <c r="AB4" i="3"/>
  <c r="U4" i="3"/>
  <c r="AB3" i="3"/>
  <c r="U3" i="3"/>
  <c r="BS400" i="1"/>
  <c r="BS399" i="1"/>
  <c r="BS398" i="1"/>
  <c r="BE398" i="1"/>
  <c r="BS397" i="1"/>
  <c r="BS396" i="1"/>
  <c r="BE396" i="1"/>
  <c r="BS395" i="1"/>
  <c r="BE395" i="1"/>
  <c r="BS394" i="1"/>
  <c r="BE394" i="1"/>
  <c r="BS393" i="1"/>
  <c r="BE393" i="1"/>
  <c r="BS392" i="1"/>
  <c r="BE392" i="1"/>
  <c r="BS391" i="1"/>
  <c r="BE391" i="1"/>
  <c r="BS390" i="1"/>
  <c r="BS389" i="1"/>
  <c r="BE389" i="1"/>
  <c r="BS388" i="1"/>
  <c r="BE388" i="1"/>
  <c r="BS387" i="1"/>
  <c r="BE387" i="1"/>
  <c r="BS386" i="1"/>
  <c r="BE386" i="1"/>
  <c r="BS385" i="1"/>
  <c r="BS384" i="1"/>
  <c r="BE384" i="1"/>
  <c r="BS383" i="1"/>
  <c r="BE383" i="1"/>
  <c r="BS382" i="1"/>
  <c r="BE382" i="1"/>
  <c r="BS381" i="1"/>
  <c r="BE381" i="1"/>
  <c r="BS380" i="1"/>
  <c r="BS379" i="1"/>
  <c r="BE379" i="1"/>
  <c r="BS378" i="1"/>
  <c r="BE378" i="1"/>
  <c r="BS377" i="1"/>
  <c r="BE377" i="1"/>
  <c r="BS376" i="1"/>
  <c r="BE376" i="1"/>
  <c r="BS375" i="1"/>
  <c r="BE375" i="1"/>
  <c r="BS374" i="1"/>
  <c r="BE374" i="1"/>
  <c r="BS373" i="1"/>
  <c r="BE373" i="1"/>
  <c r="BS372" i="1"/>
  <c r="BE372" i="1"/>
  <c r="BS371" i="1"/>
  <c r="BE371" i="1"/>
  <c r="BS370" i="1"/>
  <c r="BE370" i="1"/>
  <c r="BS369" i="1"/>
  <c r="BE369" i="1"/>
  <c r="BS368" i="1"/>
  <c r="BE368" i="1"/>
  <c r="BS367" i="1"/>
  <c r="BS366" i="1"/>
  <c r="BE366" i="1"/>
  <c r="BS365" i="1"/>
  <c r="BE365" i="1"/>
  <c r="BS364" i="1"/>
  <c r="BE364" i="1"/>
  <c r="BS363" i="1"/>
  <c r="BE363" i="1"/>
  <c r="BS362" i="1"/>
  <c r="BE362" i="1"/>
  <c r="BS361" i="1"/>
  <c r="BE361" i="1"/>
  <c r="BS360" i="1"/>
  <c r="BE360" i="1"/>
  <c r="BS359" i="1"/>
  <c r="BE359" i="1"/>
  <c r="BS358" i="1"/>
  <c r="BE358" i="1"/>
  <c r="BS357" i="1"/>
  <c r="BE357" i="1"/>
  <c r="BS356" i="1"/>
  <c r="BE356" i="1"/>
  <c r="BS355" i="1"/>
  <c r="BE355" i="1"/>
  <c r="BS354" i="1"/>
  <c r="BE354" i="1"/>
  <c r="BS353" i="1"/>
  <c r="BE353" i="1"/>
  <c r="BS352" i="1"/>
  <c r="BE352" i="1"/>
  <c r="BS351" i="1"/>
  <c r="BE351" i="1"/>
  <c r="BS350" i="1"/>
  <c r="BE350" i="1"/>
  <c r="BS349" i="1"/>
  <c r="BE349" i="1"/>
  <c r="BS348" i="1"/>
  <c r="BE348" i="1"/>
  <c r="BS347" i="1"/>
  <c r="BE347" i="1"/>
  <c r="BS346" i="1"/>
  <c r="BE346" i="1"/>
  <c r="BS345" i="1"/>
  <c r="BE345" i="1"/>
  <c r="BS344" i="1"/>
  <c r="BE344" i="1"/>
  <c r="BS343" i="1"/>
  <c r="BE343" i="1"/>
  <c r="BS342" i="1"/>
  <c r="BE342" i="1"/>
  <c r="BS341" i="1"/>
  <c r="BE341" i="1"/>
  <c r="BS340" i="1"/>
  <c r="BE340" i="1"/>
  <c r="BS339" i="1"/>
  <c r="BE339" i="1"/>
  <c r="BS338" i="1"/>
  <c r="BE338" i="1"/>
  <c r="BS337" i="1"/>
  <c r="BE337" i="1"/>
  <c r="BS336" i="1"/>
  <c r="BE336" i="1"/>
  <c r="BS335" i="1"/>
  <c r="BE335" i="1"/>
  <c r="BS334" i="1"/>
  <c r="BE334" i="1"/>
  <c r="BS333" i="1"/>
  <c r="BE333" i="1"/>
  <c r="BS332" i="1"/>
  <c r="BE332" i="1"/>
  <c r="BS331" i="1"/>
  <c r="BE331" i="1"/>
  <c r="BS330" i="1"/>
  <c r="BE330" i="1"/>
  <c r="BS329" i="1"/>
  <c r="BE329" i="1"/>
  <c r="BS328" i="1"/>
  <c r="BE328" i="1"/>
  <c r="BS327" i="1"/>
  <c r="BE327" i="1"/>
  <c r="BS326" i="1"/>
  <c r="BE326" i="1"/>
  <c r="BS325" i="1"/>
  <c r="BE325" i="1"/>
  <c r="BS324" i="1"/>
  <c r="BE324" i="1"/>
  <c r="BS323" i="1"/>
  <c r="BE323" i="1"/>
  <c r="BS322" i="1"/>
  <c r="BE322" i="1"/>
  <c r="BS321" i="1"/>
  <c r="BE321" i="1"/>
  <c r="BS320" i="1"/>
  <c r="BE320" i="1"/>
  <c r="BS319" i="1"/>
  <c r="BE319" i="1"/>
  <c r="BS318" i="1"/>
  <c r="BE318" i="1"/>
  <c r="BS317" i="1"/>
  <c r="BE317" i="1"/>
  <c r="BS316" i="1"/>
  <c r="BE316" i="1"/>
  <c r="BS315" i="1"/>
  <c r="BE315" i="1"/>
  <c r="BS314" i="1"/>
  <c r="BE314" i="1"/>
  <c r="BS313" i="1"/>
  <c r="BE313" i="1"/>
  <c r="BS312" i="1"/>
  <c r="BE312" i="1"/>
  <c r="BS311" i="1"/>
  <c r="BE311" i="1"/>
  <c r="BS310" i="1"/>
  <c r="BE310" i="1"/>
  <c r="BS309" i="1"/>
  <c r="BE309" i="1"/>
  <c r="BS308" i="1"/>
  <c r="BE308" i="1"/>
  <c r="BS307" i="1"/>
  <c r="BE307" i="1"/>
  <c r="BS306" i="1"/>
  <c r="BE306" i="1"/>
  <c r="BS305" i="1"/>
  <c r="BE305" i="1"/>
  <c r="BS304" i="1"/>
  <c r="BE304" i="1"/>
  <c r="BS303" i="1"/>
  <c r="BE303" i="1"/>
  <c r="BS302" i="1"/>
  <c r="BE302" i="1"/>
  <c r="BS301" i="1"/>
  <c r="BE301" i="1"/>
  <c r="BS300" i="1"/>
  <c r="BE300" i="1"/>
  <c r="BS299" i="1"/>
  <c r="BE299" i="1"/>
  <c r="BS298" i="1"/>
  <c r="BE298" i="1"/>
  <c r="BS297" i="1"/>
  <c r="BE297" i="1"/>
  <c r="BS296" i="1"/>
  <c r="BE296" i="1"/>
  <c r="BS295" i="1"/>
  <c r="BE295" i="1"/>
  <c r="BS294" i="1"/>
  <c r="BE294" i="1"/>
  <c r="BS293" i="1"/>
  <c r="BE293" i="1"/>
  <c r="BS292" i="1"/>
  <c r="BE292" i="1"/>
  <c r="BS291" i="1"/>
  <c r="BE291" i="1"/>
  <c r="BS290" i="1"/>
  <c r="BS289" i="1"/>
  <c r="BE289" i="1"/>
  <c r="BS288" i="1"/>
  <c r="BE288" i="1"/>
  <c r="BS287" i="1"/>
  <c r="BE287" i="1"/>
  <c r="BS286" i="1"/>
  <c r="BE286" i="1"/>
  <c r="BS285" i="1"/>
  <c r="BE285" i="1"/>
  <c r="BS284" i="1"/>
  <c r="BE284" i="1"/>
  <c r="BS283" i="1"/>
  <c r="BS282" i="1"/>
  <c r="BE282" i="1"/>
  <c r="BS281" i="1"/>
  <c r="BE281" i="1"/>
  <c r="BS280" i="1"/>
  <c r="BE280" i="1"/>
  <c r="BS279" i="1"/>
  <c r="BE279" i="1"/>
  <c r="BS278" i="1"/>
  <c r="BE278" i="1"/>
  <c r="BS277" i="1"/>
  <c r="BE277" i="1"/>
  <c r="BS276" i="1"/>
  <c r="BE276" i="1"/>
  <c r="BS275" i="1"/>
  <c r="BE275" i="1"/>
  <c r="BS274" i="1"/>
  <c r="BE274" i="1"/>
  <c r="BS273" i="1"/>
  <c r="BE273" i="1"/>
  <c r="BS272" i="1"/>
  <c r="BE272" i="1"/>
  <c r="BS271" i="1"/>
  <c r="BE271" i="1"/>
  <c r="BS270" i="1"/>
  <c r="BE270" i="1"/>
  <c r="BS269" i="1"/>
  <c r="BE269" i="1"/>
  <c r="BS268" i="1"/>
  <c r="BE268" i="1"/>
  <c r="BS267" i="1"/>
  <c r="BE267" i="1"/>
  <c r="BS266" i="1"/>
  <c r="BE266" i="1"/>
  <c r="BS265" i="1"/>
  <c r="BE265" i="1"/>
  <c r="BS264" i="1"/>
  <c r="BE264" i="1"/>
  <c r="BS263" i="1"/>
  <c r="BE263" i="1"/>
  <c r="BS262" i="1"/>
  <c r="BE262" i="1"/>
  <c r="BS261" i="1"/>
  <c r="BE261" i="1"/>
  <c r="BS260" i="1"/>
  <c r="BE260" i="1"/>
  <c r="BS259" i="1"/>
  <c r="BE259" i="1"/>
  <c r="BS258" i="1"/>
  <c r="BE258" i="1"/>
  <c r="BS257" i="1"/>
  <c r="BS256" i="1"/>
  <c r="BE256" i="1"/>
  <c r="BS255" i="1"/>
  <c r="BE255" i="1"/>
  <c r="BS254" i="1"/>
  <c r="BE254" i="1"/>
  <c r="BS253" i="1"/>
  <c r="BE253" i="1"/>
  <c r="BS252" i="1"/>
  <c r="BE252" i="1"/>
  <c r="BS251" i="1"/>
  <c r="BE251" i="1"/>
  <c r="BS250" i="1"/>
  <c r="BE250" i="1"/>
  <c r="BS249" i="1"/>
  <c r="BE249" i="1"/>
  <c r="BS248" i="1"/>
  <c r="BE248" i="1"/>
  <c r="BS247" i="1"/>
  <c r="BE247" i="1"/>
  <c r="BS246" i="1"/>
  <c r="BE246" i="1"/>
  <c r="BS245" i="1"/>
  <c r="BE245" i="1"/>
  <c r="BS244" i="1"/>
  <c r="BE244" i="1"/>
  <c r="BS243" i="1"/>
  <c r="BE243" i="1"/>
  <c r="BS242" i="1"/>
  <c r="BE242" i="1"/>
  <c r="BS241" i="1"/>
  <c r="BE241" i="1"/>
  <c r="BS240" i="1"/>
  <c r="BE240" i="1"/>
  <c r="BS239" i="1"/>
  <c r="BE239" i="1"/>
  <c r="BS238" i="1"/>
  <c r="BE238" i="1"/>
  <c r="BS237" i="1"/>
  <c r="BE237" i="1"/>
  <c r="BS236" i="1"/>
  <c r="BE236" i="1"/>
  <c r="BS235" i="1"/>
  <c r="BE235" i="1"/>
  <c r="BS234" i="1"/>
  <c r="BE234" i="1"/>
  <c r="BS233" i="1"/>
  <c r="BE233" i="1"/>
  <c r="BS232" i="1"/>
  <c r="BE232" i="1"/>
  <c r="BS231" i="1"/>
  <c r="BE231" i="1"/>
  <c r="BS230" i="1"/>
  <c r="BE230" i="1"/>
  <c r="BS229" i="1"/>
  <c r="BE229" i="1"/>
  <c r="BS228" i="1"/>
  <c r="BE228" i="1"/>
  <c r="BS227" i="1"/>
  <c r="BE227" i="1"/>
  <c r="BS226" i="1"/>
  <c r="BE226" i="1"/>
  <c r="BS225" i="1"/>
  <c r="BE225" i="1"/>
  <c r="BS224" i="1"/>
  <c r="BE224" i="1"/>
  <c r="BS223" i="1"/>
  <c r="BE223" i="1"/>
  <c r="BS222" i="1"/>
  <c r="BE222" i="1"/>
  <c r="BS221" i="1"/>
  <c r="BE221" i="1"/>
  <c r="BS220" i="1"/>
  <c r="BE220" i="1"/>
  <c r="BS219" i="1"/>
  <c r="BE219" i="1"/>
  <c r="BS218" i="1"/>
  <c r="BE218" i="1"/>
  <c r="BS217" i="1"/>
  <c r="BE217" i="1"/>
  <c r="BS216" i="1"/>
  <c r="BE216" i="1"/>
  <c r="BS215" i="1"/>
  <c r="BE215" i="1"/>
  <c r="BS214" i="1"/>
  <c r="BE214" i="1"/>
  <c r="BS213" i="1"/>
  <c r="BE213" i="1"/>
  <c r="BS212" i="1"/>
  <c r="BE212" i="1"/>
  <c r="BS211" i="1"/>
  <c r="BE211" i="1"/>
  <c r="BS210" i="1"/>
  <c r="BE210" i="1"/>
  <c r="BS209" i="1"/>
  <c r="BS208" i="1"/>
  <c r="BE208" i="1"/>
  <c r="BS207" i="1"/>
  <c r="BE207" i="1"/>
  <c r="BS206" i="1"/>
  <c r="BE206" i="1"/>
  <c r="BS205" i="1"/>
  <c r="BE205" i="1"/>
  <c r="BS204" i="1"/>
  <c r="BE204" i="1"/>
  <c r="BS203" i="1"/>
  <c r="BE203" i="1"/>
  <c r="BS202" i="1"/>
  <c r="BE202" i="1"/>
  <c r="BS201" i="1"/>
  <c r="BE201" i="1"/>
  <c r="BS200" i="1"/>
  <c r="BS199" i="1"/>
  <c r="BE199" i="1"/>
  <c r="BS198" i="1"/>
  <c r="BE198" i="1"/>
  <c r="BS197" i="1"/>
  <c r="BE197" i="1"/>
  <c r="BS196" i="1"/>
  <c r="BE196" i="1"/>
  <c r="BS195" i="1"/>
  <c r="BE195" i="1"/>
  <c r="BS194" i="1"/>
  <c r="BE194" i="1"/>
  <c r="BS193" i="1"/>
  <c r="BE193" i="1"/>
  <c r="BS192" i="1"/>
  <c r="BE192" i="1"/>
  <c r="BS191" i="1"/>
  <c r="BE191" i="1"/>
  <c r="BS190" i="1"/>
  <c r="BE190" i="1"/>
  <c r="BS189" i="1"/>
  <c r="BE189" i="1"/>
  <c r="BS188" i="1"/>
  <c r="BE188" i="1"/>
  <c r="BS187" i="1"/>
  <c r="BE187" i="1"/>
  <c r="BS186" i="1"/>
  <c r="BE186" i="1"/>
  <c r="BS185" i="1"/>
  <c r="BE185" i="1"/>
  <c r="BS184" i="1"/>
  <c r="BE184" i="1"/>
  <c r="BS183" i="1"/>
  <c r="BE183" i="1"/>
  <c r="BS182" i="1"/>
  <c r="BE182" i="1"/>
  <c r="BS181" i="1"/>
  <c r="BE181" i="1"/>
  <c r="BS180" i="1"/>
  <c r="BE180" i="1"/>
  <c r="BS179" i="1"/>
  <c r="BE179" i="1"/>
  <c r="BS178" i="1"/>
  <c r="BE178" i="1"/>
  <c r="BS177" i="1"/>
  <c r="BE177" i="1"/>
  <c r="BS176" i="1"/>
  <c r="BE176" i="1"/>
  <c r="BS175" i="1"/>
  <c r="BE175" i="1"/>
  <c r="BS174" i="1"/>
  <c r="BE174" i="1"/>
  <c r="BS173" i="1"/>
  <c r="BE173" i="1"/>
  <c r="BS172" i="1"/>
  <c r="BE172" i="1"/>
  <c r="BS171" i="1"/>
  <c r="BE171" i="1"/>
  <c r="BS170" i="1"/>
  <c r="BE170" i="1"/>
  <c r="BS169" i="1"/>
  <c r="BE169" i="1"/>
  <c r="BS168" i="1"/>
  <c r="BE168" i="1"/>
  <c r="BS167" i="1"/>
  <c r="BE167" i="1"/>
  <c r="BS166" i="1"/>
  <c r="BE166" i="1"/>
  <c r="BS165" i="1"/>
  <c r="BE165" i="1"/>
  <c r="BS164" i="1"/>
  <c r="BE164" i="1"/>
  <c r="BS163" i="1"/>
  <c r="BE163" i="1"/>
  <c r="BS162" i="1"/>
  <c r="BE162" i="1"/>
  <c r="BS161" i="1"/>
  <c r="BE161" i="1"/>
  <c r="BS160" i="1"/>
  <c r="BE160" i="1"/>
  <c r="BS159" i="1"/>
  <c r="BE159" i="1"/>
  <c r="BS158" i="1"/>
  <c r="BS157" i="1"/>
  <c r="BE157" i="1"/>
  <c r="BS156" i="1"/>
  <c r="BE156" i="1"/>
  <c r="BS155" i="1"/>
  <c r="BE155" i="1"/>
  <c r="BS154" i="1"/>
  <c r="BE154" i="1"/>
  <c r="BS153" i="1"/>
  <c r="BE153" i="1"/>
  <c r="BS152" i="1"/>
  <c r="BE152" i="1"/>
  <c r="BS151" i="1"/>
  <c r="BE151" i="1"/>
  <c r="BS150" i="1"/>
  <c r="BE150" i="1"/>
  <c r="BS149" i="1"/>
  <c r="BE149" i="1"/>
  <c r="BS148" i="1"/>
  <c r="BE148" i="1"/>
  <c r="BS147" i="1"/>
  <c r="BE147" i="1"/>
  <c r="BS146" i="1"/>
  <c r="BE146" i="1"/>
  <c r="BS145" i="1"/>
  <c r="BE145" i="1"/>
  <c r="BS144" i="1"/>
  <c r="BE144" i="1"/>
  <c r="BS143" i="1"/>
  <c r="BE143" i="1"/>
  <c r="BS142" i="1"/>
  <c r="BE142" i="1"/>
  <c r="BS141" i="1"/>
  <c r="BE141" i="1"/>
  <c r="BS140" i="1"/>
  <c r="BE140" i="1"/>
  <c r="BS139" i="1"/>
  <c r="BE139" i="1"/>
  <c r="BS138" i="1"/>
  <c r="BE138" i="1"/>
  <c r="BS137" i="1"/>
  <c r="BE137" i="1"/>
  <c r="BS136" i="1"/>
  <c r="BE136" i="1"/>
  <c r="BS135" i="1"/>
  <c r="BS134" i="1"/>
  <c r="BE134" i="1"/>
  <c r="BS133" i="1"/>
  <c r="BE133" i="1"/>
  <c r="BS132" i="1"/>
  <c r="BE132" i="1"/>
  <c r="BS131" i="1"/>
  <c r="BE131" i="1"/>
  <c r="BS130" i="1"/>
  <c r="BE130" i="1"/>
  <c r="BS129" i="1"/>
  <c r="BE129" i="1"/>
  <c r="BS128" i="1"/>
  <c r="BE128" i="1"/>
  <c r="BS127" i="1"/>
  <c r="BS126" i="1"/>
  <c r="BE126" i="1"/>
  <c r="BS125" i="1"/>
  <c r="BE125" i="1"/>
  <c r="BS124" i="1"/>
  <c r="BE124" i="1"/>
  <c r="BS123" i="1"/>
  <c r="BE123" i="1"/>
  <c r="BS122" i="1"/>
  <c r="BE122" i="1"/>
  <c r="BS121" i="1"/>
  <c r="BE121" i="1"/>
  <c r="BS120" i="1"/>
  <c r="BE120" i="1"/>
  <c r="BS119" i="1"/>
  <c r="BE119" i="1"/>
  <c r="BS118" i="1"/>
  <c r="BE118" i="1"/>
  <c r="BS117" i="1"/>
  <c r="BE117" i="1"/>
  <c r="BS116" i="1"/>
  <c r="BE116" i="1"/>
  <c r="BS115" i="1"/>
  <c r="BS114" i="1"/>
  <c r="BE114" i="1"/>
  <c r="BS113" i="1"/>
  <c r="BE113" i="1"/>
  <c r="BS112" i="1"/>
  <c r="BE112" i="1"/>
  <c r="BS111" i="1"/>
  <c r="BE111" i="1"/>
  <c r="BS110" i="1"/>
  <c r="BE110" i="1"/>
  <c r="BS109" i="1"/>
  <c r="BE109" i="1"/>
  <c r="BS108" i="1"/>
  <c r="BE108" i="1"/>
  <c r="BS107" i="1"/>
  <c r="BE107" i="1"/>
  <c r="BS106" i="1"/>
  <c r="BE106" i="1"/>
  <c r="BS105" i="1"/>
  <c r="BE105" i="1"/>
  <c r="BS104" i="1"/>
  <c r="BS103" i="1"/>
  <c r="BE103" i="1"/>
  <c r="BS102" i="1"/>
  <c r="BE102" i="1"/>
  <c r="BS101" i="1"/>
  <c r="BE101" i="1"/>
  <c r="BS100" i="1"/>
  <c r="BE100" i="1"/>
  <c r="BS99" i="1"/>
  <c r="BE99" i="1"/>
  <c r="BS98" i="1"/>
  <c r="BE98" i="1"/>
  <c r="BS97" i="1"/>
  <c r="BE97" i="1"/>
  <c r="BS96" i="1"/>
  <c r="BE96" i="1"/>
  <c r="BS95" i="1"/>
  <c r="BE95" i="1"/>
  <c r="BS94" i="1"/>
  <c r="BE94" i="1"/>
  <c r="BS93" i="1"/>
  <c r="BE93" i="1"/>
  <c r="BS92" i="1"/>
  <c r="BS91" i="1"/>
  <c r="BE91" i="1"/>
  <c r="BS90" i="1"/>
  <c r="BE90" i="1"/>
  <c r="BS89" i="1"/>
  <c r="BE89" i="1"/>
  <c r="BS88" i="1"/>
  <c r="BE88" i="1"/>
  <c r="BS87" i="1"/>
  <c r="BE87" i="1"/>
  <c r="BS86" i="1"/>
  <c r="BE86" i="1"/>
  <c r="BS85" i="1"/>
  <c r="BE85" i="1"/>
  <c r="BS84" i="1"/>
  <c r="BE84" i="1"/>
  <c r="BS83" i="1"/>
  <c r="BE83" i="1"/>
  <c r="BS82" i="1"/>
  <c r="BE82" i="1"/>
  <c r="BS81" i="1"/>
  <c r="BE81" i="1"/>
  <c r="BS80" i="1"/>
  <c r="BE80" i="1"/>
  <c r="BS79" i="1"/>
  <c r="BE79" i="1"/>
  <c r="BS78" i="1"/>
  <c r="BE78" i="1"/>
  <c r="BS77" i="1"/>
  <c r="BE77" i="1"/>
  <c r="BS76" i="1"/>
  <c r="BE76" i="1"/>
  <c r="BS75" i="1"/>
  <c r="BE75" i="1"/>
  <c r="BS74" i="1"/>
  <c r="BE74" i="1"/>
  <c r="BS73" i="1"/>
  <c r="BE73" i="1"/>
  <c r="BS72" i="1"/>
  <c r="BE72" i="1"/>
  <c r="BS71" i="1"/>
  <c r="BE71" i="1"/>
  <c r="BS70" i="1"/>
  <c r="BE70" i="1"/>
  <c r="BS69" i="1"/>
  <c r="BE69" i="1"/>
  <c r="BS68" i="1"/>
  <c r="BE68" i="1"/>
  <c r="BS67" i="1"/>
  <c r="BE67" i="1"/>
  <c r="BS66" i="1"/>
  <c r="BE66" i="1"/>
  <c r="BS65" i="1"/>
  <c r="BE65" i="1"/>
  <c r="BS64" i="1"/>
  <c r="BE64" i="1"/>
  <c r="BS63" i="1"/>
  <c r="BE63" i="1"/>
  <c r="BS62" i="1"/>
  <c r="BE62" i="1"/>
  <c r="BS61" i="1"/>
  <c r="BS60" i="1"/>
  <c r="BE60" i="1"/>
  <c r="BS59" i="1"/>
  <c r="BE59" i="1"/>
  <c r="BS58" i="1"/>
  <c r="BE58" i="1"/>
  <c r="BS57" i="1"/>
  <c r="BE57" i="1"/>
  <c r="BS56" i="1"/>
  <c r="BE56" i="1"/>
  <c r="BS55" i="1"/>
  <c r="BE55" i="1"/>
  <c r="BS54" i="1"/>
  <c r="BE54" i="1"/>
  <c r="BS53" i="1"/>
  <c r="BE53" i="1"/>
  <c r="BS52" i="1"/>
  <c r="BE52" i="1"/>
  <c r="BS51" i="1"/>
  <c r="BE51" i="1"/>
  <c r="BS50" i="1"/>
  <c r="BE50" i="1"/>
  <c r="BS49" i="1"/>
  <c r="BE49" i="1"/>
  <c r="BS48" i="1"/>
  <c r="BE48" i="1"/>
  <c r="BS47" i="1"/>
  <c r="BE47" i="1"/>
  <c r="BS46" i="1"/>
  <c r="BE46" i="1"/>
  <c r="BS45" i="1"/>
  <c r="BE45" i="1"/>
  <c r="BS44" i="1"/>
  <c r="BE44" i="1"/>
  <c r="BS43" i="1"/>
  <c r="BE43" i="1"/>
  <c r="BS42" i="1"/>
  <c r="BE42" i="1"/>
  <c r="BS41" i="1"/>
  <c r="BE41" i="1"/>
  <c r="BS40" i="1"/>
  <c r="BE40" i="1"/>
  <c r="BS39" i="1"/>
  <c r="BE39" i="1"/>
  <c r="BS38" i="1"/>
  <c r="BE38" i="1"/>
  <c r="BS37" i="1"/>
  <c r="BE37" i="1"/>
  <c r="BS36" i="1"/>
  <c r="BE36" i="1"/>
  <c r="BS35" i="1"/>
  <c r="BE35" i="1"/>
  <c r="BS34" i="1"/>
  <c r="BE34" i="1"/>
  <c r="BS33" i="1"/>
  <c r="BE33" i="1"/>
  <c r="BS32" i="1"/>
  <c r="BE32" i="1"/>
  <c r="BS31" i="1"/>
  <c r="BE31" i="1"/>
  <c r="BS30" i="1"/>
  <c r="BE30" i="1"/>
  <c r="BS29" i="1"/>
  <c r="BE29" i="1"/>
  <c r="BS28" i="1"/>
  <c r="BE28" i="1"/>
  <c r="BS27" i="1"/>
  <c r="BE27" i="1"/>
  <c r="BS26" i="1"/>
  <c r="BE26" i="1"/>
  <c r="BS25" i="1"/>
  <c r="BS24" i="1"/>
  <c r="BE24" i="1"/>
  <c r="BS23" i="1"/>
  <c r="BE23" i="1"/>
  <c r="BS22" i="1"/>
  <c r="BE22" i="1"/>
  <c r="BS21" i="1"/>
  <c r="BE21" i="1"/>
  <c r="BS20" i="1"/>
  <c r="BE20" i="1"/>
  <c r="BS19" i="1"/>
  <c r="BE19" i="1"/>
  <c r="BS18" i="1"/>
  <c r="BE18" i="1"/>
  <c r="BS17" i="1"/>
  <c r="BE17" i="1"/>
  <c r="BS16" i="1"/>
  <c r="BE16" i="1"/>
  <c r="BS15" i="1"/>
  <c r="BE15" i="1"/>
  <c r="BS14" i="1"/>
  <c r="BE14" i="1"/>
  <c r="BS13" i="1"/>
  <c r="BE13" i="1"/>
  <c r="BS12" i="1"/>
  <c r="BE12" i="1"/>
  <c r="BS11" i="1"/>
  <c r="BE11" i="1"/>
  <c r="BS10" i="1"/>
  <c r="BE10" i="1"/>
  <c r="BS9" i="1"/>
  <c r="BE9" i="1"/>
  <c r="BS8" i="1"/>
  <c r="BE8" i="1"/>
  <c r="BS7" i="1"/>
  <c r="BE7" i="1"/>
  <c r="BS6" i="1"/>
  <c r="BE6" i="1"/>
  <c r="BS5" i="1"/>
  <c r="BE5" i="1"/>
  <c r="BS4" i="1"/>
  <c r="BE4" i="1"/>
  <c r="BS3" i="1"/>
  <c r="BE3" i="1"/>
</calcChain>
</file>

<file path=xl/sharedStrings.xml><?xml version="1.0" encoding="utf-8"?>
<sst xmlns="http://schemas.openxmlformats.org/spreadsheetml/2006/main" count="24932" uniqueCount="7722">
  <si>
    <t>Authors</t>
  </si>
  <si>
    <t>Language</t>
  </si>
  <si>
    <t>Keywords Plus</t>
  </si>
  <si>
    <t>Abstract</t>
  </si>
  <si>
    <t>Addresses</t>
  </si>
  <si>
    <t>Affiliations</t>
  </si>
  <si>
    <t>ORCIDs</t>
  </si>
  <si>
    <t>Publisher</t>
  </si>
  <si>
    <t>ISSN</t>
  </si>
  <si>
    <t>eISSN</t>
  </si>
  <si>
    <t>ISBN</t>
  </si>
  <si>
    <t>Volume</t>
  </si>
  <si>
    <t>Issue</t>
  </si>
  <si>
    <t>Supplement</t>
  </si>
  <si>
    <t>DOI</t>
  </si>
  <si>
    <t>DOI Link</t>
  </si>
  <si>
    <t>Book DOI</t>
  </si>
  <si>
    <t>Pubmed Id</t>
  </si>
  <si>
    <t>UT (Unique WOS ID)</t>
  </si>
  <si>
    <t>J</t>
  </si>
  <si>
    <t>Kandalaft, MR; Didehbani, N; Krawczyk, DC; Allen, TT; Chapman, SB</t>
  </si>
  <si>
    <t/>
  </si>
  <si>
    <t>Kandalaft, Michelle R.; Didehbani, Nyaz; Krawczyk, Daniel C.; Allen, Tandra T.; Chapman, Sandra B.</t>
  </si>
  <si>
    <t>Virtual Reality Social Cognition Training for Young Adults with High-Functioning Autism</t>
  </si>
  <si>
    <t>JOURNAL OF AUTISM AND DEVELOPMENTAL DISORDERS</t>
  </si>
  <si>
    <t>English</t>
  </si>
  <si>
    <t>Article</t>
  </si>
  <si>
    <t>Virtual reality; Autism; Asperger; Intervention; Treatment; Adult</t>
  </si>
  <si>
    <t>ASPERGER-SYNDROME; SKILLS; ADOLESCENTS; ENVIRONMENTS; CHILDREN; MIND</t>
  </si>
  <si>
    <t>Few evidence-based social interventions exist for young adults with high-functioning autism, many of whom encounter significant challenges during the transition into adulthood. The current study investigated the feasibility of an engaging Virtual Reality Social Cognition Training intervention focused on enhancing social skills, social cognition, and social functioning. Eight young adults diagnosed with high-functioning autism completed 10 sessions across 5 weeks. Significant increases on social cognitive measures of theory of mind and emotion recognition, as well as in real life social and occupational functioning were found post-training. These findings suggest that the virtual reality platform is a promising tool for improving social skills, cognition, and functioning in autism.</t>
  </si>
  <si>
    <t>[Kandalaft, Michelle R.; Didehbani, Nyaz; Krawczyk, Daniel C.; Allen, Tandra T.; Chapman, Sandra B.] Univ Texas Dallas, Ctr BrainHlth, Dallas, TX 75235 USA; [Krawczyk, Daniel C.] Univ Texas SW Med Ctr Dallas, Dept Psychiat, Dallas, TX 75390 USA</t>
  </si>
  <si>
    <t>University of Texas System; University of Texas Dallas; University of Texas System; University of Texas Southwestern Medical Center Dallas</t>
  </si>
  <si>
    <t>Kandalaft, MR (corresponding author), Univ Texas Dallas, Ctr BrainHlth, 2200 W Mockingbird Lane, Dallas, TX 75235 USA.</t>
  </si>
  <si>
    <t>drmkandalaft@gmail.com</t>
  </si>
  <si>
    <t>Krawczyk, Daniel/0000-0003-1507-7935; Didehbani, Nyaz/0000-0001-6121-5759</t>
  </si>
  <si>
    <t>SPRINGER/PLENUM PUBLISHERS</t>
  </si>
  <si>
    <t>NEW YORK</t>
  </si>
  <si>
    <t>233 SPRING ST, NEW YORK, NY 10013 USA</t>
  </si>
  <si>
    <t>0162-3257</t>
  </si>
  <si>
    <t>1573-3432</t>
  </si>
  <si>
    <t>J AUTISM DEV DISORD</t>
  </si>
  <si>
    <t>J. Autism Dev. Disord.</t>
  </si>
  <si>
    <t>JAN</t>
  </si>
  <si>
    <t>10.1007/s10803-012-1544-6</t>
  </si>
  <si>
    <t>Psychology, Developmental</t>
  </si>
  <si>
    <t>Social Science Citation Index (SSCI)</t>
  </si>
  <si>
    <t>Psychology</t>
  </si>
  <si>
    <t>064KL</t>
  </si>
  <si>
    <t>hybrid, Green Accepted</t>
  </si>
  <si>
    <t>2025-05-02</t>
  </si>
  <si>
    <t>WOS:000313073700004</t>
  </si>
  <si>
    <t>Grynszpan, O; Weiss, PL; Perez-Diaz, F; Gal, E</t>
  </si>
  <si>
    <t>Grynszpan, Ouriel; Weiss, Patrice L. (Tamar); Perez-Diaz, Fernando; Gal, Eynat</t>
  </si>
  <si>
    <t>Innovative technology- based interventions for autism spectrum disorders: A meta- analysis</t>
  </si>
  <si>
    <t>AUTISM</t>
  </si>
  <si>
    <t>autism spectrum disorders; computer; innovative technology; meta-analysis; remediation; robotics; systematic review; training; virtual reality</t>
  </si>
  <si>
    <t>HIGH-FUNCTIONING AUTISM; COMPUTER-ASSISTED-INSTRUCTION; COMPLEX EMOTION RECOGNITION; ASPERGER-SYNDROME; SOCIAL-SKILLS; COMMUNICATION-SKILLS; VIRTUAL ENVIRONMENTS; ANIMATED TUTOR; CHILDREN; STUDENTS</t>
  </si>
  <si>
    <t>This article reports the results of a meta-analysis of technology-based intervention studies for children with autism spectrum disorders. We conducted a systematic review of research that used a pre-post design to assess innovative technology interventions, including computer programs, virtual reality, and robotics. The selected studies provided interventions via a desktop computer, interactive DVD, shared active surface, and virtual reality. None employed robotics. The results provide evidence for the overall effectiveness of technology-based training. The overall mean effect size for posttests of controlled studies of children with autism spectrum disorders who received technology-based interventions was significantly different from zero and approached the medium magnitude, d = 0.47 (confidence interval: 0.08-0.86). The influence of age and IQ was not significant. Differences in training procedures are discussed in the light of the negative correlation that was found between the intervention durations and the studies' effect sizes. The results of this meta-analysis provide support for the continuing development, evaluation, and clinical usage of technology-based intervention for individuals with autism spectrum disorders.</t>
  </si>
  <si>
    <t>[Grynszpan, Ouriel] Univ Paris 06, F-75252 Paris 05, France; [Grynszpan, Ouriel; Perez-Diaz, Fernando] CNRS, USR 3246, F-75700 Paris, France; [Weiss, Patrice L. (Tamar); Gal, Eynat] Univ Haifa, IL-31999 Haifa, Israel</t>
  </si>
  <si>
    <t>Sorbonne Universite; Centre National de la Recherche Scientifique (CNRS); University of Haifa</t>
  </si>
  <si>
    <t>Grynszpan, O (corresponding author), Hop La Pitie Salpetriere, CNRS, Ctr Emot, USR 3246, Pavillon Clerambault,47 Blvd Hop, F-75013 Paris, France.</t>
  </si>
  <si>
    <t>ouriel.grynszpan@upmc.fr</t>
  </si>
  <si>
    <t>Grynszpan, Ouriel/ABF-6923-2020</t>
  </si>
  <si>
    <t>SAGE PUBLICATIONS LTD</t>
  </si>
  <si>
    <t>LONDON</t>
  </si>
  <si>
    <t>1 OLIVERS YARD, 55 CITY ROAD, LONDON EC1Y 1SP, ENGLAND</t>
  </si>
  <si>
    <t>1362-3613</t>
  </si>
  <si>
    <t>1461-7005</t>
  </si>
  <si>
    <t>Autism</t>
  </si>
  <si>
    <t>MAY</t>
  </si>
  <si>
    <t>10.1177/1362361313476767</t>
  </si>
  <si>
    <t>AF0BU</t>
  </si>
  <si>
    <t>WOS:000334377400001</t>
  </si>
  <si>
    <t>Parsons, S; Mitchell, P</t>
  </si>
  <si>
    <t>The potential of virtual reality in social skills training for people with autistic spectrum disorders</t>
  </si>
  <si>
    <t>JOURNAL OF INTELLECTUAL DISABILITY RESEARCH</t>
  </si>
  <si>
    <t>Review</t>
  </si>
  <si>
    <t>autism; executive function; mental simulation; social skills training; theory of mind; virtual reality</t>
  </si>
  <si>
    <t>HIGH-FUNCTIONING AUTISM; ASPERGERS-SYNDROME; FALSE BELIEF; JOINT ATTENTION; TEACHING THEORY; CHILDREN; REHABILITATION; MIND; ENVIRONMENTS; ADULTS</t>
  </si>
  <si>
    <t>Background People with autism experience profound and pervasive difficulties in the social domain. Attempts to teach social behaviours tend to adopt either a behavioural or a 'theory of mind' (ToM) approach. The beneficial aspects and limitations of both paradigms are summarized before an examination of how virtual reality technology may offer a way to combine the strengths from both approaches. Methods This is not an exhaustive review of the literature; rather, the papers are chosen as representative of the current understanding within each broad topic. Web of Science ISI, EMBASE and PsycInfo were searched for relevant articles. Results Behavioural and ToM approaches to social skills training achieve some success in improving specific skills or understanding. However, the failure to generalize learned behaviours to novel environments, and the unwieldy nature of some behavioural methodologies, means that there is a need for a training package that is easy to administer and successful in promoting learning across contexts. Conclusions Virtual reality technology may be an ideal tool for allowing participants to practise behaviours in role-play situations, whilst also providing a safe environment for rule learning and repetition of tasks. Role-play within virtual environments could promote the mental simulation of social events, potentially allowing a greater insight into minds. Practice of behaviours, both within and across contexts, could also encourage a more flexible approach to social problem solving. Virtual environments offer a new and exciting perspective on social skills training for people with autistic spectrum disorders.</t>
  </si>
  <si>
    <t>Univ Nottingham, Sch Psychol, Nottingham NG7 2RD, England</t>
  </si>
  <si>
    <t>University of Nottingham</t>
  </si>
  <si>
    <t>Parsons, S (corresponding author), Univ Nottingham, Sch Psychol, Univ Pk, Nottingham NG7 2RD, England.</t>
  </si>
  <si>
    <t>BLACKWELL PUBLISHING LTD</t>
  </si>
  <si>
    <t>OXFORD</t>
  </si>
  <si>
    <t>9600 GARSINGTON RD, OXFORD OX4 2DG, OXON, ENGLAND</t>
  </si>
  <si>
    <t>0964-2633</t>
  </si>
  <si>
    <t>J INTELL DISABIL RES</t>
  </si>
  <si>
    <t>J. Intell. Disabil. Res.</t>
  </si>
  <si>
    <t>JUN</t>
  </si>
  <si>
    <t>10.1046/j.1365-2788.2002.00425.x</t>
  </si>
  <si>
    <t>Education, Special; Genetics &amp; Heredity; Clinical Neurology; Psychiatry; Rehabilitation</t>
  </si>
  <si>
    <t>Science Citation Index Expanded (SCI-EXPANDED); Social Science Citation Index (SSCI)</t>
  </si>
  <si>
    <t>Education &amp; Educational Research; Genetics &amp; Heredity; Neurosciences &amp; Neurology; Psychiatry; Rehabilitation</t>
  </si>
  <si>
    <t>556FC</t>
  </si>
  <si>
    <t>Bronze</t>
  </si>
  <si>
    <t>WOS:000175837800006</t>
  </si>
  <si>
    <t>Didehbani, N; Allen, T; Kandalaft, M; Krawczyk, D; Chapman, S</t>
  </si>
  <si>
    <t>Didehbani, Nyaz; Allen, Tandra; Kandalaft, Michelle; Krawczyk, Daniel; Chapman, Sandra</t>
  </si>
  <si>
    <t>Virtual Reality Social Cognition Training for children with high functioning autism</t>
  </si>
  <si>
    <t>COMPUTERS IN HUMAN BEHAVIOR</t>
  </si>
  <si>
    <t>Autism; Virtual reality; Social cognition; Pediatric; Intervention</t>
  </si>
  <si>
    <t>SPECTRUM-DISORDERS; ASPERGER-SYNDROME; LEARNING-ENVIRONMENT; ADOLESCENTS; SKILLS; INTERVENTION; RECOGNITION; ATTRIBUTION; TECHNOLOGY; COMPETENCE</t>
  </si>
  <si>
    <t>Virtual reality appears to be a promising and motivating platform to safely practice and rehearse social skills for children with Autism Spectrum Disorders (ASD). However, the literature to date is subject to limitations in elucidating the effectiveness of these virtual reality interventions. This study investigated the impact of a Virtual Reality Social Cognition Training to enhance social skills in children with ASD. Thirty children between the ages of 7-16 diagnosed with ASD completed 10,1-h sessions across 5 weeks. Three primary domains were measured pre-post: emotion recognition, social attribution, attention and executive function. Results revealed improvements on measures of emotion recognition, social attribution, and executive function of analogical reasoning. These preliminary findings suggest that the use of a virtual reality platform offers an effective treatment option for improving social impairments commonly found in ASD. (C) 2016 The Authors. Published by Elsevier Ltd. This is an open access article under the CC BY-NC-ND license (http://creativecommons.org/licenses/by-nc-nd/4.0/).</t>
  </si>
  <si>
    <t>[Didehbani, Nyaz; Allen, Tandra; Kandalaft, Michelle; Krawczyk, Daniel; Chapman, Sandra] Univ Texas Dallas, Ctr BrainHlth, 2200 West Mockingbird Lane, Dallas, TX 75230 USA; [Didehbani, Nyaz; Krawczyk, Daniel] Univ Texas Southwestern Med Ctr Dallas, Dept Psychiat, 5323 Harry Hines Blvd, Dallas, TX USA</t>
  </si>
  <si>
    <t>Didehbani, N (corresponding author), Univ Texas Southwestern Med Sch, 5323 Harry Hines Blvd, Dallas, TX 75235 USA.</t>
  </si>
  <si>
    <t>nyaz.didehbani@utsouthwestern.edu</t>
  </si>
  <si>
    <t>Didehbani, Nyaz/0000-0001-6121-5759</t>
  </si>
  <si>
    <t>Rees-Jones Foundation; Sparrow Foundation; Lattner Foundation; Crystal Charity Ball</t>
  </si>
  <si>
    <t>We thank the Rees-Jones Foundation, Sparrow Foundation, Lattner Foundation, and Crystal Charity Ball for their generous support of this research.</t>
  </si>
  <si>
    <t>PERGAMON-ELSEVIER SCIENCE LTD</t>
  </si>
  <si>
    <t>THE BOULEVARD, LANGFORD LANE, KIDLINGTON, OXFORD OX5 1GB, ENGLAND</t>
  </si>
  <si>
    <t>0747-5632</t>
  </si>
  <si>
    <t>1873-7692</t>
  </si>
  <si>
    <t>COMPUT HUM BEHAV</t>
  </si>
  <si>
    <t>Comput. Hum. Behav.</t>
  </si>
  <si>
    <t>SEP</t>
  </si>
  <si>
    <t>10.1016/j.chb.2016.04.033</t>
  </si>
  <si>
    <t>Psychology, Multidisciplinary; Psychology, Experimental</t>
  </si>
  <si>
    <t>DQ1HO</t>
  </si>
  <si>
    <t>hybrid</t>
  </si>
  <si>
    <t>WOS:000378952300071</t>
  </si>
  <si>
    <t>Smith, MJ; Ginger, EJ; Wright, K; Wright, MA; Taylor, JL; Humm, LB; Olsen, DE; Bell, MD; Fleming, MF</t>
  </si>
  <si>
    <t>Smith, Matthew J.; Ginger, Emily J.; Wright, Katherine; Wright, Michael A.; Taylor, Julie Lounds; Humm, Laura Boteler; Olsen, Dale E.; Bell, Morris D.; Fleming, Michael F.</t>
  </si>
  <si>
    <t>Virtual Reality Job Interview Training in Adults with Autism Spectrum Disorder</t>
  </si>
  <si>
    <t>Autism spectrum disorder; Internet-based intervention; Job interview skills; Vocational training</t>
  </si>
  <si>
    <t>YOUNG-ADULTS; EMPLOYMENT; TRANSITION; INDIVIDUALS</t>
  </si>
  <si>
    <t>The feasibility and efficacy of virtual reality job interview training (VR-JIT) was assessed in a single-blinded randomized controlled trial. Adults with autism spectrum disorder were randomized to VR-JIT (n = 16) or treatment-as-usual (TAU) (n = 10) groups. VR-JIT consisted of simulated job interviews with a virtual character and didactic training. Participants attended 90 % of laboratory-based training sessions, found VR-JIT easy to use and enjoyable, and they felt prepared for future interviews. VR-JIT participants had greater improvement during live standardized job interview role-play performances than TAU participants (p = 0.046). A similar pattern was observed for self-reported self-confidence at a trend level (p = 0.060). VR-JIT simulation performance scores increased over time (R (2) = 0.83). Results indicate preliminary support for the feasibility and efficacy of VR-JIT, which can be administered using computer software or via the internet.</t>
  </si>
  <si>
    <t>[Smith, Matthew J.; Ginger, Emily J.; Wright, Katherine; Wright, Michael A.; Fleming, Michael F.] Northwestern Univ, Dept Psychiat &amp; Behav Sci, Feinberg Sch Med, Chicago, IL 60611 USA; [Taylor, Julie Lounds] Vanderbilt Univ, Dept Pediat, Vanderbilt Kennedy Ctr, Nashville, TN 37203 USA; [Taylor, Julie Lounds] Vanderbilt Univ, Dept Special Educ, Vanderbilt Kennedy Ctr, Nashville, TN 37203 USA; [Humm, Laura Boteler; Olsen, Dale E.] SIMmersion LLC, Columbia, MD 21046 USA; [Bell, Morris D.] Yale Univ, Sch Med, Dept Psychiat, West Haven, CT 06516 USA; [Bell, Morris D.] Yale Univ, Sch Med, Dept Vet Affairs, VACHS, West Haven, CT 06516 USA</t>
  </si>
  <si>
    <t>Northwestern University; Feinberg School of Medicine; Vanderbilt University; Vanderbilt University; Yale University; Yale University</t>
  </si>
  <si>
    <t>Smith, MJ (corresponding author), Northwestern Univ, Dept Psychiat &amp; Behav Sci, Feinberg Sch Med, 710 N Lake Shore Dr,Abbott Hall 13th Floor, Chicago, IL 60611 USA.</t>
  </si>
  <si>
    <t>matthewsmith@northwestern.edu</t>
  </si>
  <si>
    <t>Taylor, Julie/KWU-8803-2024; Wright, Katherine/AAF-5366-2020; Smith, Matthew/ACM-2138-2022</t>
  </si>
  <si>
    <t>Smith, Matthew/0000-0002-0079-1477; Humm, Laura/0000-0002-9642-1453; Bell, Morris/0000-0003-0795-9196; Wright, Katherine/0000-0001-5967-8156</t>
  </si>
  <si>
    <t>OCT</t>
  </si>
  <si>
    <t>10.1007/s10803-014-2113-y</t>
  </si>
  <si>
    <t>AP6TX</t>
  </si>
  <si>
    <t>Green Accepted</t>
  </si>
  <si>
    <t>WOS:000342211800008</t>
  </si>
  <si>
    <t>Park, MJ; Kim, DJ; Lees, U; Na, EJ; Jeon, HJ</t>
  </si>
  <si>
    <t>Park, Mi Jin; Kim, Dong Jun; Lees, Unjoo; Na, Eun Jin; Jeon, Hong Jin</t>
  </si>
  <si>
    <t>A Literature Overview of Virtual Reality (VR) in Treatment of Psychiatric Disorders: Recent Advances and Limitations</t>
  </si>
  <si>
    <t>FRONTIERS IN PSYCHIATRY</t>
  </si>
  <si>
    <t>virtual reality; psychiatric treatment; psychiatric disorders; dementia; motion sickness</t>
  </si>
  <si>
    <t>POSTTRAUMATIC-STRESS-DISORDER; COGNITIVE-BEHAVIORAL THERAPY; ACTIVE-DUTY SOLDIERS; EXPOSURE THERAPY; PROLONGED EXPOSURE; ANXIETY DISORDERS; VIETNAM VETERANS; CONTROLLED-TRIAL; CLINICAL-TRIAL; SPIDER PHOBIA</t>
  </si>
  <si>
    <t>In this paper, we conduct a literature survey on various virtual reality (VR) treatments in psychiatry. We collected 36 studies that used VR to provide clinical trials or therapies for patients with psychiatric disorders. In order to gain a better understanding of the management of pain and stress, we first investigate VR applications for patients to alleviate pain and stress during immersive activities in a virtual environment. VR exposure therapies are particularly effective for anxiety, provoking realistic reactions to feared stimuli. On top of that, exposure therapies with simulated images are beneficial for patients with psychiatric disorders such as phobia and posttraumatic stress disorder (PTSD). Moreover, VR environments have shown the possibility of changing depression, cognition, even social functions. We review empirical evidence from VR-based treatments on psychiatric illnesses such as dementia, mild cognitive impairment (MCI), schizophrenia and autism. Through cognitive training and social skill training, rehabilitation through VR therapies helps patients to improve their quality of life. Recent advances in VR technology also demonstrate potential abilities to address cognitive and functional impairments in dementia. In terms of the different types of VR systems, we discuss the feasibility of the technology within different stages of dementia as well as the methodological limitations. Although there is room for improvement, its widespread adoption in psychiatry is yet to occur due to technical drawbacks such as motion sickness and dry eyes, as well as user issues such as preoccupation and addiction. However, it is worth mentioning that VR systems relatively easily deliver virtual environments with well-controlled sensory stimuli. In the future, VR systems may become an innovative clinical tool for patients with specific psychiatric symptoms.</t>
  </si>
  <si>
    <t>[Park, Mi Jin; Na, Eun Jin; Jeon, Hong Jin] Sungkyunkwan Univ, Depress Ctr, Samsung Med Ctr, Dept Psychiat,Sch Med, Seoul, South Korea; [Kim, Dong Jun; Jeon, Hong Jin] Sungkyunkwan Univ, Dept Hlth Sci &amp; Technol, Dept Med Device Management Res, SAIHST, Seoul, South Korea; [Kim, Dong Jun; Jeon, Hong Jin] Sungkyunkwan Univ, Dept Clin Res Design &amp; Evaluat, SAIHST, Seoul, South Korea; [Lees, Unjoo] Hallym Univ, Dept Elect Engn, Kangwon, South Korea</t>
  </si>
  <si>
    <t>Sungkyunkwan University (SKKU); Samsung Medical Center; Sungkyunkwan University (SKKU); Sungkyunkwan University (SKKU); Hallym University</t>
  </si>
  <si>
    <t>Jeon, HJ (corresponding author), Sungkyunkwan Univ, Depress Ctr, Samsung Med Ctr, Dept Psychiat,Sch Med, Seoul, South Korea.;Jeon, HJ (corresponding author), Sungkyunkwan Univ, Dept Hlth Sci &amp; Technol, Dept Med Device Management Res, SAIHST, Seoul, South Korea.;Jeon, HJ (corresponding author), Sungkyunkwan Univ, Dept Clin Res Design &amp; Evaluat, SAIHST, Seoul, South Korea.</t>
  </si>
  <si>
    <t>jeonhj@skku.edu</t>
  </si>
  <si>
    <t>Original Technology Research Program for Brain Science through the National Research Foundation of Korea (NRF) - Ministry of Science and ICT [NRF-2016M3C7A1947307]; Bio &amp; Medical Technology Development Program of the NRF - Korean government, MSIT [NRF-2017M3A9F1027323]</t>
  </si>
  <si>
    <t>Original Technology Research Program for Brain Science through the National Research Foundation of Korea (NRF) - Ministry of Science and ICT; Bio &amp; Medical Technology Development Program of the NRF - Korean government, MSIT</t>
  </si>
  <si>
    <t>This work was supported by the Original Technology Research Program for Brain Science through the National Research Foundation of Korea (NRF) funded by the Ministry of Science and ICT (No. NRF-2016M3C7A1947307; PI HJJ), and by the Bio &amp; Medical Technology Development Program of the NRF funded by the Korean government, MSIT (No. NRF-2017M3A9F1027323; PI HJJ). They had no further role in study design; in the collection, analysis and interpretation of data; in the writing of the report; and in the decision to submit the paper for publication.</t>
  </si>
  <si>
    <t>FRONTIERS MEDIA SA</t>
  </si>
  <si>
    <t>LAUSANNE</t>
  </si>
  <si>
    <t>AVENUE DU TRIBUNAL FEDERAL 34, LAUSANNE, CH-1015, SWITZERLAND</t>
  </si>
  <si>
    <t>1664-0640</t>
  </si>
  <si>
    <t>FRONT PSYCHIATRY</t>
  </si>
  <si>
    <t>Front. Psychiatry</t>
  </si>
  <si>
    <t>JUL 19</t>
  </si>
  <si>
    <t>10.3389/fpsyt.2019.00505</t>
  </si>
  <si>
    <t>Psychiatry</t>
  </si>
  <si>
    <t>IK8SQ</t>
  </si>
  <si>
    <t>gold, Green Published</t>
  </si>
  <si>
    <t>WOS:000476866200001</t>
  </si>
  <si>
    <t>Mitchell, P; Parsons, S; Leonard, A</t>
  </si>
  <si>
    <t>Mitchell, Peter; Parsons, Sarah; Leonard, Anne</t>
  </si>
  <si>
    <t>Using virtual environments for teaching social understanding to 6 adolescents with autistic spectrum disorders</t>
  </si>
  <si>
    <t>virtual reality; single-user virtual environments; autism; Asperger's syndrome; social understanding</t>
  </si>
  <si>
    <t>CHILDREN; REALITY; KNOWLEDGE; MIND; INDIVIDUALS; INSTRUCTION; COMPUTERS; SKILLS; TOOL</t>
  </si>
  <si>
    <t>Six teenagers with Autistic Spectrum Disorders (ASDs) experienced a Virtual Environment (VE) of a cafe. They also watched three sets of videos of real cafes and buses and judged where they would sit and explained why. Half of the participants received their VE experience between the first and second sets of videos, and half experienced it between the second and third. Ten naive raters independently coded participants' judgments and reasoning. In direct relation to the timing of VE use, there were several instances of significant improvement in judgments and explanations about where to sit, both in a video of a cafe and a bus. The results demonstrate the potential of Virtual Reality for teaching social skills.</t>
  </si>
  <si>
    <t>Univ Nottingham, Sch Psychol, Nottingham NG7 2RD, England; Univ Birmingham, Sch Educ, Birmingham B15 2TT, W Midlands, England</t>
  </si>
  <si>
    <t>University of Nottingham; University of Birmingham</t>
  </si>
  <si>
    <t>Mitchell, P (corresponding author), Univ Nottingham, Sch Psychol, Univ Pk, Nottingham NG7 2RD, England.</t>
  </si>
  <si>
    <t>peter.mitchell@nottingham.ac.uk</t>
  </si>
  <si>
    <t>Mitchell, Peter/0000-0001-5215-320X</t>
  </si>
  <si>
    <t>MAR</t>
  </si>
  <si>
    <t>10.1007/s10803-006-0189-8</t>
  </si>
  <si>
    <t>142ZJ</t>
  </si>
  <si>
    <t>WOS:000244689500018</t>
  </si>
  <si>
    <t>Mesa-Gresa, P; Gil-Gómez, H; Lozano-Quilis, JA; Gil-Gómez, JA</t>
  </si>
  <si>
    <t>Mesa-Gresa, Patricia; Gil-Gomez, Hermenegildo; Lozano-Quilis, Jose-Antonio; Gil-Gomez, Jose-Antonio</t>
  </si>
  <si>
    <t>Effectiveness of Virtual Reality for Children and Adolescents with Autism Spectrum Disorder: An Evidence-Based Systematic Review</t>
  </si>
  <si>
    <t>SENSORS</t>
  </si>
  <si>
    <t>virtual reality; ASD; Autism Spectrum Disorder; augmented reality; Asperger</t>
  </si>
  <si>
    <t>AUGMENTED REALITY; FACIAL EXPRESSIONS; SOCIAL-SKILLS; ENVIRONMENT; REHABILITATION; INTERVENTION; SUPPORT; DESIGN</t>
  </si>
  <si>
    <t>Autism Spectrum Disorder (ASD) is a neurodevelopmental disease that is specially characterized by impairments in social communication and social skills. ASD has a high prevalence in children, affecting 1 in 160 subjects. Virtual reality (VR) has emerged as an effective tool for intervention in the health field. Different recent papers have reviewed the VR-based treatments in ASD, but they have an important limitation because they only use clinical databases and do not include important technical indexes such as the Web of Science index or the Scimago Journal &amp; Country Rank. To our knowledge, this is the first contribution that has carried out an evidence-based systematic review including both clinical and technical databases about the effectiveness of VR-based intervention in ASD. The initial search identified a total of 450 records. After the exclusion of the papers that are not studies, duplicated articles, and the screening of the abstract and full text, 31 articles met the PICO (Population, Intervention, Comparison and Outcomes) criteria and were selected for analysis. The studies examined suggest moderate evidence about the effectiveness of VR-based treatments in ASD. VR can add many advantages to the treatment of ASD symptomatology, but it is necessary to develop consistent validations in future studies to state that VR can effectively complement the traditional treatments.</t>
  </si>
  <si>
    <t>[Mesa-Gresa, Patricia] Univ Valencia, Fac Psicol, Dept Psicobiol, Blasco Ibanez 21, Valencia 46010, Spain; [Gil-Gomez, Hermenegildo; Lozano-Quilis, Jose-Antonio; Gil-Gomez, Jose-Antonio] Univ Politecn Valencia, Inst Univ Automat &amp; Informat Ind, Camino Vera S-N, E-46022 Valencia, Spain</t>
  </si>
  <si>
    <t>University of Valencia; Universitat Politecnica de Valencia</t>
  </si>
  <si>
    <t>Gil-Gómez, JA (corresponding author), Univ Politecn Valencia, Inst Univ Automat &amp; Informat Ind, Camino Vera S-N, E-46022 Valencia, Spain.</t>
  </si>
  <si>
    <t>patricia.mesa@uv.es; hgil@ai2.upv.es; jlozano@upv.es; jgil@upv.es</t>
  </si>
  <si>
    <t>Gil-Gómez, Hermenegildo/AAJ-8287-2020; Mesa, Patricia/M-3773-2014; Lozano, Jose/F-5120-2010; Gil-Gomez, Jose-Antonio/H-9756-2015</t>
  </si>
  <si>
    <t>Gil-Gomez, Jose-Antonio/0000-0001-9954-2480</t>
  </si>
  <si>
    <t>MDPI</t>
  </si>
  <si>
    <t>BASEL</t>
  </si>
  <si>
    <t>ST ALBAN-ANLAGE 66, CH-4052 BASEL, SWITZERLAND</t>
  </si>
  <si>
    <t>1424-8220</t>
  </si>
  <si>
    <t>SENSORS-BASEL</t>
  </si>
  <si>
    <t>Sensors</t>
  </si>
  <si>
    <t>AUG</t>
  </si>
  <si>
    <t>10.3390/s18082486</t>
  </si>
  <si>
    <t>Chemistry, Analytical; Engineering, Electrical &amp; Electronic; Instruments &amp; Instrumentation</t>
  </si>
  <si>
    <t>Chemistry; Engineering; Instruments &amp; Instrumentation</t>
  </si>
  <si>
    <t>GU9YE</t>
  </si>
  <si>
    <t>Green Submitted, Green Published, gold</t>
  </si>
  <si>
    <t>WOS:000445712400086</t>
  </si>
  <si>
    <t>Parsons, S; Mitchell, P; Leonard, A</t>
  </si>
  <si>
    <t>The use and understanding of virtual environments by adolescents with autistic spectrum disorders</t>
  </si>
  <si>
    <t>virtual environments; social skills; adolescents; autistic spectrum disorder; executive function</t>
  </si>
  <si>
    <t>ADAPTIVE-BEHAVIOR; ASPERGER-SYNDROME; CHILDREN; REALITY; PEOPLE; MIND; REHABILITATION; CLUMSINESS; SKILLS; AGE</t>
  </si>
  <si>
    <t>The potential of virtual environments for teaching people with autism has been positively promoted in recent years. The present study aimed to systematically investigate this potential with 12 participants with autistic spectrum disorders (ASDs), each individually matched with comparison participants according to either verbal IQ or performance IQ, as well as gender and chronological age. Participants practised using a desktop 'training' virtual environment, before completing a number of tasks in a virtual cafe. We examined time spent completing tasks, errors made, basic understanding of the representational quality of virtual environments and the social appropriateness of performance. The use of the environments by the participants with ASDs was on a par with their PIQ-matched counterparts, and the majority of the group seemed to have a basic understanding of the virtual environment as a representation of reality. However, some participants in the ASD group were significantly more likely to be judged as bumping into, or walking between, other people in the virtual scene, compared to their paired matches. This tendency could not be explained by executive dysfunction or a general motor difficulty. This might be a sign that understanding personal space is impaired in autism. Virtual environments might offer a useful tool for social skills training, and this would be a valuable topic for future research.</t>
  </si>
  <si>
    <t>Univ Birmingham, Sch Educ, Birmingham B15 2TT, W Midlands, England.</t>
  </si>
  <si>
    <t>s.j.parsons@bham.ac.uk</t>
  </si>
  <si>
    <t>10.1023/B:JADD.0000037421.98517.8d</t>
  </si>
  <si>
    <t>844ZN</t>
  </si>
  <si>
    <t>WOS:000223205500008</t>
  </si>
  <si>
    <t>Strickland, DC; Coles, CD; Southern, LB</t>
  </si>
  <si>
    <t>Strickland, Dorothy C.; Coles, Claire D.; Southern, Louise B.</t>
  </si>
  <si>
    <t>JobTIPS: A Transition to Employment Program for Individuals with Autism Spectrum Disorders</t>
  </si>
  <si>
    <t>Autism; Interviewing; JobTIPS; Employment; Theory of Mind</t>
  </si>
  <si>
    <t>HIGH-FUNCTIONING AUTISM; SOCIAL-SKILLS; VIRTUAL-REALITY; POSTSECONDARY EDUCATION; YOUNG-ADULTS; INTERVIEW; CHILDREN; INTERVENTIONS; METAANALYSIS; ADOLESCENTS</t>
  </si>
  <si>
    <t>This study evaluated the effectiveness of an internet accessed training program that included Theory of Mind-based guidance, video models, visual supports, and virtual reality practice sessions in teaching appropriate job interview skills to individuals with high functioning Autism Spectrum Disorders. In a randomized study, twenty-two youth, ages 16-19, were evaluated during two employment interviews. Half received a training intervention following the initial interview and the half who served as a contrast group did not. Their performance pre and post intervention was assessed by four independent raters using a scale that included evaluation of both Content and Delivery. Results suggest that youth who completed the JobTIPS employment program demonstrated significantly more effective verbal content skills than those who did not.</t>
  </si>
  <si>
    <t>[Strickland, Dorothy C.] Virtual Real Aids Do2Learn, Raleigh, NC 27607 USA; [Coles, Claire D.] Emory Univ, Dept Psychiat &amp; Behav Sci, Sch Med, Atlanta, GA USA; [Coles, Claire D.] Marcus Autism Ctr, Dept Pediat, Atlanta, GA USA; [Southern, Louise B.] N Carolina State Univ, Raleigh, NC 27607 USA</t>
  </si>
  <si>
    <t>Emory University; North Carolina State University</t>
  </si>
  <si>
    <t>Strickland, DC (corresponding author), Virtual Real Aids Do2Learn, 3204 Churchill Rd, Raleigh, NC 27607 USA.</t>
  </si>
  <si>
    <t>strickland@do2learn.com</t>
  </si>
  <si>
    <t>10.1007/s10803-013-1800-4</t>
  </si>
  <si>
    <t>217FD</t>
  </si>
  <si>
    <t>WOS:000324341500022</t>
  </si>
  <si>
    <t>S</t>
  </si>
  <si>
    <t>Pelphrey, KA; Carter, EJ</t>
  </si>
  <si>
    <t>Eden, GF; Flower, DL</t>
  </si>
  <si>
    <t>Pelphrey, Kevin A.; Carter, Elizabeth J.</t>
  </si>
  <si>
    <t>Brain Mechanisms for Social Perception Lessons from Autism and Typical Development</t>
  </si>
  <si>
    <t>LEARNING, SKILL ACQUISITION, READING, AND DYSLEXIA</t>
  </si>
  <si>
    <t>Annals of the New York Academy of Sciences</t>
  </si>
  <si>
    <t>Article; Proceedings Paper</t>
  </si>
  <si>
    <t>25th Rodin Remediation Conference 2006</t>
  </si>
  <si>
    <t>OCT 11-13, 2006</t>
  </si>
  <si>
    <t>Georgetown Univ, Washington, DC</t>
  </si>
  <si>
    <t>Georgetown Univ</t>
  </si>
  <si>
    <t>autism; fMRI; superior temporal sulcus</t>
  </si>
  <si>
    <t>BIOLOGICAL-MOTION; ASPERGER-SYNDROME; TEMPORAL CORTEX; JOINT ATTENTION; REVISED VERSION; NEURAL SYSTEMS; FACIAL AFFECT; GAZE SHIFTS; CHILDREN; AMYGDALA</t>
  </si>
  <si>
    <t>In this review, we summarize our research program, which has as its goal charting the typical and atypical development of the social brain in children, adolescents, and adults with and without autism. We highlight recent work using virtual reality stimuli, eye,. tracking, and functional magnetic resonance imaging that has implicated the superior temporal sulcus (STS) region as an important component of the network of brain regions that support various aspects of social cognition and social perception. Our work in typically developing adults has led to the conclusion that. the STS region is involved in social perception via its role in the visual analysis of others' actions and intentions from biological-motion cues. Our work in high-functioning adolescents and adults with autism has implicated the STS region as a mechanism underlying social perception dysfunction in this neurodevelopmental disorder. We also report novel findings from a study orbiological-motion perception in young children with and without autism.</t>
  </si>
  <si>
    <t>[Pelphrey, Kevin A.] Yale Univ, Yale Child Study Ctr, New Haven, CT 06520 USA; [Carter, Elizabeth J.] Carnegie Mellon Univ, Dept Psychol, Pittsburgh, PA 15213 USA</t>
  </si>
  <si>
    <t>Yale University; Carnegie Mellon University</t>
  </si>
  <si>
    <t>Pelphrey, KA (corresponding author), Yale Univ, Yale Child Study Ctr, 203 S Frontage Rd, New Haven, CT 06520 USA.</t>
  </si>
  <si>
    <t>kevin.pelphrey@yale.edu</t>
  </si>
  <si>
    <t>Carter, Elizabeth/G-6958-2012</t>
  </si>
  <si>
    <t>NIMH NIH HHS [MH071284, K01 MH071284-06, K01 MH071284, K01 MH071284-01, K01 MH071284-04, K01 MH071284-05, K01 MH071284-03, K01 MH071284-02] Funding Source: Medline; Autism Speaks [AS1632] Funding Source: Medline</t>
  </si>
  <si>
    <t>NIMH NIH HHS(United States Department of Health &amp; Human ServicesNational Institutes of Health (NIH) - USANIH National Institute of Mental Health (NIMH)); Autism Speaks</t>
  </si>
  <si>
    <t>WILEY-BLACKWELL</t>
  </si>
  <si>
    <t>HOBOKEN</t>
  </si>
  <si>
    <t>111 RIVER STREET, HOBOKEN, NJ, UNITED STATES</t>
  </si>
  <si>
    <t>0077-8923</t>
  </si>
  <si>
    <t>978-1-57331-702-3</t>
  </si>
  <si>
    <t>ANN NY ACAD SCI</t>
  </si>
  <si>
    <t>Ann.NY Acad.Sci.</t>
  </si>
  <si>
    <t>10.1196/annals.1416.007</t>
  </si>
  <si>
    <t>Education, Special; Linguistics; Multidisciplinary Sciences; Neurosciences</t>
  </si>
  <si>
    <t>Conference Proceedings Citation Index - Science (CPCI-S); Conference Proceedings Citation Index - Social Science &amp; Humanities (CPCI-SSH); Science Citation Index Expanded (SCI-EXPANDED)</t>
  </si>
  <si>
    <t>Education &amp; Educational Research; Linguistics; Science &amp; Technology - Other Topics; Neurosciences &amp; Neurology</t>
  </si>
  <si>
    <t>BIQ96</t>
  </si>
  <si>
    <t>WOS:000262097100020</t>
  </si>
  <si>
    <t>Strickland, D; Marcus, LM; Mesibov, GB; Hogan, K</t>
  </si>
  <si>
    <t>Brief report: Two case studies using virtual reality as a learning tool for autistic children</t>
  </si>
  <si>
    <t>UNIV N CAROLINA, SCH MED, CHAPEL HILL, NC USA</t>
  </si>
  <si>
    <t>University of North Carolina School of Medicine; University of North Carolina; University of North Carolina Chapel Hill</t>
  </si>
  <si>
    <t>Strickland, D (corresponding author), N CAROLINA STATE UNIV, RALEIGH, NC 27695 USA.</t>
  </si>
  <si>
    <t>DEC</t>
  </si>
  <si>
    <t>10.1007/BF02172354</t>
  </si>
  <si>
    <t>VY261</t>
  </si>
  <si>
    <t>WOS:A1996VY26100008</t>
  </si>
  <si>
    <t>Lorenzo, G; Lledó, A; Pomares, J; Roig, R</t>
  </si>
  <si>
    <t>Lorenzo, Gonzalo; Lledo, Asuncion; Pomares, Jorge; Roig, Rosabel</t>
  </si>
  <si>
    <t>Design and application of an immersive virtual reality system to enhance emotional skills for children with autism spectrum disorders</t>
  </si>
  <si>
    <t>COMPUTERS &amp; EDUCATION</t>
  </si>
  <si>
    <t>Autism spectrum disorders; Virtual reality; Emotional skills; Social skills; Computer vision</t>
  </si>
  <si>
    <t>EXECUTIVE FUNCTION; RECOGNITION; ENVIRONMENTS; ADOLESCENTS; MIND; INTERVENTION</t>
  </si>
  <si>
    <t>This paper proposes the design and application of an immersive virtual reality system to improve and train the emotional skills of students with autism spectrum disorders. It has been designed for primary school students between the ages of 7-12 and all participants have a confirmed diagnosis of autism spectrum disorder. The immersive environment allows the student to train and develop different social situations in a structured, visual and continuous manner. The use of a computer vision system to automatically determine the child's emotional state is proposed. This system has been created with two goals in mind, the first to update the social situations, with the student's emotional mood taken into account, and the second to confirm, automatically, if the child's behavior is appropriate in the represented social situation. The results described in this paper show a significant improvement in the children's emotional competences, in comparison with the results obtained until now using earlier virtual reality systems. (C) 2016 Elsevier Ltd. All rights reserved.</t>
  </si>
  <si>
    <t>[Lorenzo, Gonzalo; Lledo, Asuncion] Univ Alicante, Dept Dev Psychol &amp; Teaching, E-03080 Alicante, Spain; [Pomares, Jorge] Univ Alicante, Dept Phys Syst Engn &amp; Sign Theory, E-03080 Alicante, Spain; [Roig, Rosabel] Univ Alicante, Dept Gen &amp; Specif Didact, Carretera San Vicente del Raspeig S-N, Alicante 03690, Spain</t>
  </si>
  <si>
    <t>Universitat d'Alacant; Universitat d'Alacant; Universitat d'Alacant</t>
  </si>
  <si>
    <t>Lorenzo, G (corresponding author), Univ Alicante, Dept Dev Psychol &amp; Teaching, E-03080 Alicante, Spain.;Lorenzo, G (corresponding author), Univ Alicante, Dept Gen &amp; Specif Didact, Carretera San Vicente del Raspeig S-N, Alicante 03690, Spain.</t>
  </si>
  <si>
    <t>glledo@ua.es; asuncion.lledo@ua.es; jpomares@ua.es; rosabel.roig@ua.es</t>
  </si>
  <si>
    <t>Lorenzo, Gonzalo/L-8243-2017; Roig-Vila, Rosabel/D-5586-2014; Pomares, Jorge/H-3291-2015</t>
  </si>
  <si>
    <t>Lorenzo, Gonzalo/0000-0002-1997-6260; Lledo Carreres, Asuncion/0000-0001-6719-467X; Roig-Vila, Rosabel/0000-0002-9731-430X; Pomares, Jorge/0000-0002-7523-9118</t>
  </si>
  <si>
    <t>0360-1315</t>
  </si>
  <si>
    <t>1873-782X</t>
  </si>
  <si>
    <t>COMPUT EDUC</t>
  </si>
  <si>
    <t>Comput. Educ.</t>
  </si>
  <si>
    <t>JUL</t>
  </si>
  <si>
    <t>10.1016/j.compedu.2016.03.018</t>
  </si>
  <si>
    <t>Computer Science, Interdisciplinary Applications; Education &amp; Educational Research</t>
  </si>
  <si>
    <t>Computer Science; Education &amp; Educational Research</t>
  </si>
  <si>
    <t>DM2YB</t>
  </si>
  <si>
    <t>WOS:000376212900015</t>
  </si>
  <si>
    <t>Bellani, M; Fornasari, L; Chittaro, L; Brambilla, P</t>
  </si>
  <si>
    <t>Bellani, M.; Fornasari, L.; Chittaro, L.; Brambilla, P.</t>
  </si>
  <si>
    <t>Virtual reality in autism: state of the art</t>
  </si>
  <si>
    <t>EPIDEMIOLOGY AND PSYCHIATRIC SCIENCES</t>
  </si>
  <si>
    <t>autism spectrum disorders; rehabilitation; virtual environment; virtual reality</t>
  </si>
  <si>
    <t>SPECTRUM DISORDERS; ADOLESCENTS; CHILDREN; ENVIRONMENTS; EDUCATION</t>
  </si>
  <si>
    <t>Autism spectrum disorders are characterized by core deficits with regard to three domains, i.e. social interaction, communication and repetitive or stereotypic behaviour. It is crucial to develop intervention strategies helping individuals with autism, their caregivers and educators in daily life. For this purpose, virtual reality (VR), i.e. a simulation of the real world based on computer graphics, can be useful as it allows instructors and therapists to offer a safe, repeatable and diversifiable environment during learning. This mini review examines studies that have investigated the use of VR in autism.</t>
  </si>
  <si>
    <t>[Bellani, M.] Univ Verona, ICBN, Sect Psychiat &amp; Clin Psychol, Dept Publ Hlth &amp; Community Med, I-37134 Verona, Italy; [Fornasari, L.] Univ Udine, Dept Human Sci, I-33100 Udine, Italy; [Chittaro, L.] Univ Udine, Dept Math &amp; Comp Sci, Human Comp Interact Lab, I-33100 Udine, Italy; [Brambilla, P.] Univ Udine, ICBN, Dept Expt Clin Med, I-33100 Udine, Italy; [Brambilla, P.] IRCCS E Medea Sci Inst, Udine, Italy</t>
  </si>
  <si>
    <t>University of Verona; University of Udine; University of Udine; University of Udine; IRCCS Eugenio Medea</t>
  </si>
  <si>
    <t>Bellani, M (corresponding author), Univ Verona, Osped Policlin, Sect Psychiat &amp; Clin Psychol, Dept Publ Hlth &amp; Community Med, Piazzale LA Scuro 10, I-37134 Verona, Italy.</t>
  </si>
  <si>
    <t>marcella.bellani@univr.it; paolo.brambilla@uniud.it</t>
  </si>
  <si>
    <t>brambilla, paolo/B-4184-2010; Bellani, Marcella/F-3929-2010</t>
  </si>
  <si>
    <t>BELLANI, Marcella/0000-0003-1727-5396; CHITTARO, Luca/0000-0001-5975-4294</t>
  </si>
  <si>
    <t>CAMBRIDGE UNIV PRESS</t>
  </si>
  <si>
    <t>CAMBRIDGE</t>
  </si>
  <si>
    <t>EDINBURGH BLDG, SHAFTESBURY RD, CB2 8RU CAMBRIDGE, ENGLAND</t>
  </si>
  <si>
    <t>2045-7960</t>
  </si>
  <si>
    <t>2045-7979</t>
  </si>
  <si>
    <t>EPIDEMIOL PSYCH SCI</t>
  </si>
  <si>
    <t>Epidemiol. Psychiatr. Sci.</t>
  </si>
  <si>
    <t>10.1017/S2045796011000448</t>
  </si>
  <si>
    <t>861XB</t>
  </si>
  <si>
    <t>WOS:000298052600006</t>
  </si>
  <si>
    <t>Ip, HHS; Wong, SWL; Chan, DFY; Byrne, J; Li, C; Yuan, VSN; Lau, KSY; Wong, JYW</t>
  </si>
  <si>
    <t>Ip, Horace H. S.; Wong, Simpson W. L.; Chan, Dorothy F. Y.; Byrne, Julia; Li, Chen; Yuan, Vanessa S. N.; Lau, Kate S. Y.; Wong, Joe Y. W.</t>
  </si>
  <si>
    <t>Enhance emotional and social adaptation skills for children with autism spectrum disorder: A virtual reality enabled approach</t>
  </si>
  <si>
    <t>Autism spectrum disorders; Virtual reality; Emotional skills; Social adaptation; Situated learning</t>
  </si>
  <si>
    <t>EXPOSURE THERAPY; CHINESE VERSION; NORMAL ADULTS; ASPERGER; ENVIRONMENTS; RECOGNITION; ADOLESCENTS; COMPETENCE; CAVE; EYES</t>
  </si>
  <si>
    <t>Deficits in social-emotional reciprocity, one of the diagnostic criteria of Autism Spectrum Disorder (ASD), greatly hinders children with ASD from responding appropriately and adapting themselves in various social situations. Although evidences have shown that virtual reality environment is a promising tool for emotional and social adaptation skills training on ASD population, there is a lack of large-scale trials with intensive evaluations to support such findings. This paper presents a virtual reality enabled program for enhancing emotional and social adaptation skills for children with ASD. Six unique learning scenarios, of which one focuses on emotion control and relaxation strategies, four that simulate various social situations, and one that facilitates consolidation and generalization, are designed and developed with corresponding psychoeducation procedures and protocols. The learning scenarios are presented to the children via a 4-side immersive virtual reality environment (a.k.a., half-CAVE) with non-intrusive motion tracking. A total number of 94 children between the ages of 6-12 with clinical diagnosis of ASD participated in the 28 session program that lasted for 14 weeks. By comparing pre- and post-assessments, results reported in this paper show significant improvements in the project's primary measures on children's emotion expression and regulation and social-emotional reciprocity but not on other secondary measures. (C) 2017 Elsevier Ltd. All rights reserved.</t>
  </si>
  <si>
    <t>[Ip, Horace H. S.; Byrne, Julia; Li, Chen; Yuan, Vanessa S. N.; Lau, Kate S. Y.; Wong, Joe Y. W.] City Univ Hong Kong, Ctr Innovat Applicat Internet &amp; Multimedia Techno, Kowloon Tong, Hong Kong, Peoples R China; [Wong, Simpson W. L.] Hong Kong Baptist Univ, Dept Educ Studies, Kowloon Tong, Hong Kong, Peoples R China; [Chan, Dorothy F. Y.] Chinese Univ Hong Kong, Fac Med, Dept Paediat, Shatin, Hong Kong, Peoples R China</t>
  </si>
  <si>
    <t>City University of Hong Kong; Hong Kong Baptist University; Chinese University of Hong Kong</t>
  </si>
  <si>
    <t>Li, C (corresponding author), City Univ Hong Kong, Ctr Innovat Applicat Internet &amp; Multimedia Techno, Kowloon Tong, Hong Kong, Peoples R China.</t>
  </si>
  <si>
    <t>richard_lichen@hotmail.com</t>
  </si>
  <si>
    <t>WONG, Samuel/D-7311-2013</t>
  </si>
  <si>
    <t>Wong, Simpson W.L./0000-0002-6606-6382; Li, Chen/0000-0002-3782-0737</t>
  </si>
  <si>
    <t>HKSAR Quality Education Fund (QEF) [2013/0223]</t>
  </si>
  <si>
    <t>HKSAR Quality Education Fund (QEF)</t>
  </si>
  <si>
    <t>This research is supported by the HKSAR Quality Education Fund (QEF) (Project No.: 2013/0223).</t>
  </si>
  <si>
    <t>FEB</t>
  </si>
  <si>
    <t>10.1016/j.compedu.2017.09.010</t>
  </si>
  <si>
    <t>FR3LQ</t>
  </si>
  <si>
    <t>WOS:000418968600001</t>
  </si>
  <si>
    <t>Standen, PJ; Brown, DJ</t>
  </si>
  <si>
    <t>Virtual reality in the rehabilitation of people with intellectual disabilities: Review</t>
  </si>
  <si>
    <t>CYBERPSYCHOLOGY &amp; BEHAVIOR</t>
  </si>
  <si>
    <t>LEARNING-DISABILITIES; TRAINING PEOPLE; ENVIRONMENTS; EDUCATION</t>
  </si>
  <si>
    <t>Virtual reality (VR) possesses many qualities that give it rehabilitative potential for people with intellectual disabilities, both as an intervention and an assessment. It can provide a safe setting in which to practice skills that might carry too many risks in the real world. Unlike human tutors, computers are infinitely patient and consistent. Virtual worlds can be manipulated in ways the real world cannot be and can convey concepts without the use of language or other symbol systems. Published applications for this client group have all been as rehabilitative interventions. These are described in three groups: promoting skills for independent living, enhancing cognitive performance, and improving social skills. Five groups of studies are reviewed that utilize virtual technology to promote skills for independent living: grocery shopping, preparing food, orientation, road safety, and manufacturing skills. Fears that skills or habits learnt in a virtual setting would not transfer to the real world setting have not been supported by the available evidence, apart from those studies with people with autistic spectrum disorders. Future directions are in the development of more applications for independent living skills, exploring interventions for promoting motor and cognitive skills, and the developments of ecologically valid forms of assessment.</t>
  </si>
  <si>
    <t>Univ Nottingham, Div Rehabil &amp; Ageing, Sch Community Hlth Sci, Nottingham NG7 2RD, England; Nottingham Trent Univ, Sch Comp &amp; Math, Nottingham, England</t>
  </si>
  <si>
    <t>University of Nottingham; Nottingham Trent University</t>
  </si>
  <si>
    <t>Queens Med Ctr, Div Rehabil &amp; Ageing, Sch Med, B Floor,Clifton Blvd, Nottingham NG7 2UH, England.</t>
  </si>
  <si>
    <t>p.standen@nottingham.ac.uk</t>
  </si>
  <si>
    <t>Brown, David/A-1777-2009</t>
  </si>
  <si>
    <t>brown, david/0000-0002-1677-7485</t>
  </si>
  <si>
    <t>MARY ANN LIEBERT, INC</t>
  </si>
  <si>
    <t>NEW ROCHELLE</t>
  </si>
  <si>
    <t>140 HUGUENOT STREET, 3RD FL, NEW ROCHELLE, NY 10801 USA</t>
  </si>
  <si>
    <t>1094-9313</t>
  </si>
  <si>
    <t>CYBERPSYCHOL BEHAV</t>
  </si>
  <si>
    <t>CyberPsychol. Behav.</t>
  </si>
  <si>
    <t>10.1089/cpb.2005.8.272</t>
  </si>
  <si>
    <t>Communication; Psychology, Applied</t>
  </si>
  <si>
    <t>Communication; Psychology</t>
  </si>
  <si>
    <t>937YA</t>
  </si>
  <si>
    <t>WOS:000229961400022</t>
  </si>
  <si>
    <t>Emmelkamp, PMG; Meyerbröker, K</t>
  </si>
  <si>
    <t>Cannon, TD; Widiger, T</t>
  </si>
  <si>
    <t>Emmelkamp, Paul M. G.; Meyerbroker, Katharina</t>
  </si>
  <si>
    <t>Virtual Reality Therapy in Mental Health</t>
  </si>
  <si>
    <t>ANNUAL REVIEW OF CLINICAL PSYCHOLOGY, VOL 17, 2021</t>
  </si>
  <si>
    <t>Annual Review of Clinical Psychology</t>
  </si>
  <si>
    <t>Article; Book Chapter</t>
  </si>
  <si>
    <t>virtual reality exposure; virtual reality assessment; virtual reality therapy; psychiatric disorders; treatment</t>
  </si>
  <si>
    <t>COGNITIVE-BEHAVIORAL THERAPY; IN-VIVO EXPOSURE; POSTTRAUMATIC-STRESS-DISORDER; SOCIAL ANXIETY DISORDER; BINGE-EATING DISORDER; OBSESSIVE-COMPULSIVE DISORDER; ACTIVE-DUTY SOLDIERS; PROLONGED EXPOSURE; BULIMIA-NERVOSA; PANIC DISORDER</t>
  </si>
  <si>
    <t>Initially designed for the treatment of phobias, the use of virtual reality in phobic disorders has expanded to other mental health disorders such as posttraumatic stress disorder, substance-related disorders, eating disorders, psychosis, and autism spectrum disorder. The goal of this review is to provide an accessible understanding of why this approach is important for future practice, given its potential to provide clinically relevant information associated with the assessment and treatment of people suffering from mental illness. Most of the evidence is available for the use of virtual reality exposure therapy in anxiety disorders and posttraumatic stress disorder. There is hardly any evidence that virtual reality therapy is effective in generalized anxiety disorder and obsessive-compulsive disorder. There is increasing evidence that cue exposure therapy is effective in addiction and eating disorders. Studies into the use of virtual reality therapy in psychosis, autism spectrum disorder, and attention deficit hyperactivity disorder (ADHD) are promising.</t>
  </si>
  <si>
    <t>[Emmelkamp, Paul M. G.] Univ Amsterdam, Dept Clin Psychol, NL-1001 NK Amsterdam, Netherlands; [Meyerbroker, Katharina] Univ Utrecht, Dept Clin Psychol, NL-3584 CS Utrecht, Netherlands; [Meyerbroker, Katharina] Altrecht Acad Anxiety Ctr, NL-3524 SH Utrecht, Netherlands</t>
  </si>
  <si>
    <t>University of Amsterdam; Utrecht University</t>
  </si>
  <si>
    <t>Emmelkamp, PMG (corresponding author), Univ Amsterdam, Dept Clin Psychol, NL-1001 NK Amsterdam, Netherlands.</t>
  </si>
  <si>
    <t>p.m.g.emmelkamp@uva.nl</t>
  </si>
  <si>
    <t>, paulemmelkamp/G-3274-2011</t>
  </si>
  <si>
    <t>ANNUAL REVIEWS</t>
  </si>
  <si>
    <t>PALO ALTO</t>
  </si>
  <si>
    <t>4139 EL CAMINO WAY, PO BOX 10139, PALO ALTO, CA 94303-0897 USA</t>
  </si>
  <si>
    <t>1548-5943</t>
  </si>
  <si>
    <t>ANNU REV CLIN PSYCHO</t>
  </si>
  <si>
    <t>Annu. Rev. Clin. Psychol.</t>
  </si>
  <si>
    <t>10.1146/annurev-clinpsy-081219-115923</t>
  </si>
  <si>
    <t>Psychology, Clinical; Psychology</t>
  </si>
  <si>
    <t>Book Citation Index – Social Sciences &amp; Humanities (BKCI-SSH); Book Citation Index – Science (BKCI-S); Science Citation Index Expanded (SCI-EXPANDED); Social Science Citation Index (SSCI)</t>
  </si>
  <si>
    <t>BR4RG</t>
  </si>
  <si>
    <t>Bronze, Green Published</t>
  </si>
  <si>
    <t>WOS:000652495100020</t>
  </si>
  <si>
    <t>Aresti-Bartolome, N; Garcia-Zapirain, B</t>
  </si>
  <si>
    <t>Aresti-Bartolome, Nuria; Garcia-Zapirain, Begonya</t>
  </si>
  <si>
    <t>Technologies as Support Tools for Persons with Autistic Spectrum Disorder: A Systematic Review</t>
  </si>
  <si>
    <t>INTERNATIONAL JOURNAL OF ENVIRONMENTAL RESEARCH AND PUBLIC HEALTH</t>
  </si>
  <si>
    <t>ASD; tools for therapy; robots; telehealth systems; dedicated applications; virtual reality applications</t>
  </si>
  <si>
    <t>HIGH-FUNCTIONING AUTISM; VIRTUAL-REALITY; SOCIAL-SKILLS; YOUNG-CHILDREN; PROBLEM BEHAVIOR; MIXED REALITY; TELEHEALTH; ADOLESCENTS; ROBOT; THERAPY</t>
  </si>
  <si>
    <t>This study analyzes the technologies most widely used to work on areas affected by the Autistic Spectrum Disorder (ASD). Technologies can focus on the strengths and weaknesses of this disorder as they make it possible to create controlled environments, reducing the anxiety produced by real social situations. Extensive research has proven the efficiency of technologies as support tools for therapy and their acceptation by ASD sufferers and the people who are with them on a daily basis. This article is organized by the types of systems developed: virtual reality applications, telehealth systems, social robots and dedicated applications, all of which are classified by the areas they center on: communication, social learning and imitation skills and other ASD-associated conditions. 40.5% of the research conducted is found to be focused on communication as opposed to 37.8% focused on learning and social imitation skills and 21.6% which underlines problems associated with this disorder. Although most of the studies reveal how useful these tools are in therapy, they are generic tools for ASD sufferers in general, which means there is a lack of personalised tools to meet each person's needs.</t>
  </si>
  <si>
    <t>[Aresti-Bartolome, Nuria; Garcia-Zapirain, Begonya] Univ Deusto, DeustoTech LIFE Unit, DeustoTech Inst Technol, Bilbao 48007, Spain</t>
  </si>
  <si>
    <t>University of Deusto</t>
  </si>
  <si>
    <t>Aresti-Bartolome, N (corresponding author), Univ Deusto, DeustoTech LIFE Unit, DeustoTech Inst Technol, Avda Univ 24, Bilbao 48007, Spain.</t>
  </si>
  <si>
    <t>nuria.aresti@deusto.es; mbgarciazapi@deusto.es</t>
  </si>
  <si>
    <t>Garcia-Zapirain, Begonya/L-5619-2014</t>
  </si>
  <si>
    <t>Garcia-Zapirain, Begonya/0000-0002-9356-1186</t>
  </si>
  <si>
    <t>Regional Council of Bizkaia, the Basque Country Department of Education, Universities and Research</t>
  </si>
  <si>
    <t>This work was partially supported by the Regional Council of Bizkaia, the Basque Country Department of Education, Universities and Research.</t>
  </si>
  <si>
    <t>1660-4601</t>
  </si>
  <si>
    <t>INT J ENV RES PUB HE</t>
  </si>
  <si>
    <t>Int. J. Environ. Res. Public Health</t>
  </si>
  <si>
    <t>10.3390/ijerph110807767</t>
  </si>
  <si>
    <t>Environmental Sciences; Public, Environmental &amp; Occupational Health</t>
  </si>
  <si>
    <t>Environmental Sciences &amp; Ecology; Public, Environmental &amp; Occupational Health</t>
  </si>
  <si>
    <t>AO1UX</t>
  </si>
  <si>
    <t>Green Published, Green Submitted, gold</t>
  </si>
  <si>
    <t>WOS:000341101700015</t>
  </si>
  <si>
    <t>Wainer, AL; Ingersoll, BR</t>
  </si>
  <si>
    <t>Wainer, Allison L.; Ingersoll, Brooke R.</t>
  </si>
  <si>
    <t>The use of innovative computer technology for teaching social communication to individuals with autism spectrum disorders</t>
  </si>
  <si>
    <t>RESEARCH IN AUTISM SPECTRUM DISORDERS</t>
  </si>
  <si>
    <t>Autism spectrum disorders; Computer technology; Multimedia; Social-communication</t>
  </si>
  <si>
    <t>ASPERGER-SYNDROME; VIRTUAL ENVIRONMENTS; CHILDREN; INTERVENTION; ADOLESCENTS; VOCABULARY; RECOGNIZE; EMOTIONS; PEOPLE; SKILLS</t>
  </si>
  <si>
    <t>For individuals with autism spectrum disorders (ASD), the use of technology to provide intervention, particularly targeting the core social-communication deficits of the disorder, is promising. This literature review will examine studies that have used innovative technology, such as interactive computer programs and virtual reality, to deliver direct intervention focused on the development of social and communication skills to individuals with an ASD. Given that the study and use of such programs is still relatively new, the majority of the published literature is descriptive or exploratory in nature. As such, this review will provide a summary of these initial studies and preliminary findings, and provide suggestions for the future development and evaluation of similar programs. (C) 2011 Elsevier Ltd. All rights reserved.</t>
  </si>
  <si>
    <t>[Wainer, Allison L.; Ingersoll, Brooke R.] Michigan State Univ, Dept Psychol, E Lansing, MI 48824 USA</t>
  </si>
  <si>
    <t>Michigan State University</t>
  </si>
  <si>
    <t>Ingersoll, BR (corresponding author), Michigan State Univ, Dept Psychol, E Lansing, MI 48824 USA.</t>
  </si>
  <si>
    <t>ingers19@msu.edu</t>
  </si>
  <si>
    <t>Ingersoll, Brooke/A-9117-2012</t>
  </si>
  <si>
    <t>Wainer, Allison/0000-0002-1357-5829</t>
  </si>
  <si>
    <t>ELSEVIER SCI LTD</t>
  </si>
  <si>
    <t>London</t>
  </si>
  <si>
    <t>125 London Wall, London, ENGLAND</t>
  </si>
  <si>
    <t>1750-9467</t>
  </si>
  <si>
    <t>1878-0237</t>
  </si>
  <si>
    <t>RES AUTISM SPECT DIS</t>
  </si>
  <si>
    <t>Res. Autism Spectr. Disord.</t>
  </si>
  <si>
    <t>JAN-MAR</t>
  </si>
  <si>
    <t>10.1016/j.rasd.2010.08.002</t>
  </si>
  <si>
    <t>Education, Special; Psychology, Developmental; Psychiatry; Rehabilitation</t>
  </si>
  <si>
    <t>Education &amp; Educational Research; Psychology; Psychiatry; Rehabilitation</t>
  </si>
  <si>
    <t>676XX</t>
  </si>
  <si>
    <t>WOS:000283953800008</t>
  </si>
  <si>
    <t>Wang, M; Reid, D</t>
  </si>
  <si>
    <t>Wang, Michelle; Reid, Denise</t>
  </si>
  <si>
    <t>Virtual Reality in Pediatric Neurorehabilitation: Attention Deficit Hyperactivity Disorder, Autism and Cerebral Palsy</t>
  </si>
  <si>
    <t>NEUROEPIDEMIOLOGY</t>
  </si>
  <si>
    <t>Virtual reality; Children; Rehabilitation; Cerebral palsy; Attention deficit hyperactivity disorder; Autism</t>
  </si>
  <si>
    <t>CORTICAL REORGANIZATION; YOUNG-CHILDREN; LOW-COST; REHABILITATION; ENVIRONMENTS; ADOLESCENT; PEOPLE</t>
  </si>
  <si>
    <t>This paper presents the current status and use of virtual reality (VR) for children with attention deficit hyperactivity disorder (ADHD), autism and cerebral palsy. This literature review explores how VR systems have been used as treatment tools to address the primary impairments of these disorders. Three major classes of VR display systems are identified that can be characterized by the type of human-computer interaction provided: (1) feedback-focused interaction, (2) gesture-based interaction, and (3) haptic-based interaction. The demonstrated effectiveness and potential effectiveness of each class are discussed in the context of remediating the primary impairments of children with ADHD, autism and cerebral palsy. Three major themes for future research are discussed to support continued research interest in using VR in pediatric neurorehabilitation. Copyright (C) 2010 S. Karger AG, Basel</t>
  </si>
  <si>
    <t>[Wang, Michelle; Reid, Denise] Univ Toronto, Dept Rehabil Sci, Virtual Real &amp; Neurorehabil Lab, Toronto, ON M5G 1V7, Canada</t>
  </si>
  <si>
    <t>University of Toronto</t>
  </si>
  <si>
    <t>Wang, M (corresponding author), Univ Toronto, Dept Rehabil Sci, Virtual Real &amp; Neurorehabil Lab, 160-500 Univ Ave, Toronto, ON M5G 1V7, Canada.</t>
  </si>
  <si>
    <t>mwang@qmed.ca</t>
  </si>
  <si>
    <t>Wang, Michelle/GYA-3899-2022</t>
  </si>
  <si>
    <t>Ontario Council of Graduate Studies [09/10]</t>
  </si>
  <si>
    <t>Ontario Council of Graduate Studies</t>
  </si>
  <si>
    <t>This paper was supported by a Masters level award to M. W. (Autism Scholar's Award 09/10, Ontario Council of Graduate Studies). This work was completed as part of M.W.'s Master of Science degree at the University of Toronto.</t>
  </si>
  <si>
    <t>KARGER</t>
  </si>
  <si>
    <t>ALLSCHWILERSTRASSE 10, CH-4009 BASEL, SWITZERLAND</t>
  </si>
  <si>
    <t>0251-5350</t>
  </si>
  <si>
    <t>1423-0208</t>
  </si>
  <si>
    <t>Neuroepidemiology</t>
  </si>
  <si>
    <t>10.1159/000320847</t>
  </si>
  <si>
    <t>Public, Environmental &amp; Occupational Health; Clinical Neurology</t>
  </si>
  <si>
    <t>Public, Environmental &amp; Occupational Health; Neurosciences &amp; Neurology</t>
  </si>
  <si>
    <t>709HB</t>
  </si>
  <si>
    <t>WOS:000286428000002</t>
  </si>
  <si>
    <t>Valencia, K; Rusu, C; Quiñones, D; Jamet, E</t>
  </si>
  <si>
    <t>Valencia, Katherine; Rusu, Cristian; Quinones, Daniela; Jamet, Erick</t>
  </si>
  <si>
    <t>The Impact of Technology on People with Autism Spectrum Disorder: A Systematic Literature Review</t>
  </si>
  <si>
    <t>user experience; accessibility; autism spectrum disorder; game-based learning; systematic literature review</t>
  </si>
  <si>
    <t>YOUNG-CHILDREN; SOCIAL-SKILLS; COMPUTER; INTERVENTIONS; GAME; COMMUNICATION; DISABILITIES; ADOLESCENTS; EMOTIONS; ENHANCE</t>
  </si>
  <si>
    <t>People with autism spectrum disorder (ASD) tend to enjoy themselves and be engaged when interacting with computers, as these interactions occur in a safe and trustworthy environment. In this paper, we present a systematic literature review on the state of the research on the use of technology to teach people with ASD. We reviewed 94 studies that show how the use of technology in educational contexts helps people with ASD develop several skills, how these approaches consider aspects of user experience, usability and accessibility, and how game elements are used to enrich learning environments. This systematic literature review shows that the development and evaluation of systems and applications for users withASDis very promising. The use of technological advancements such as virtual agents, artificial intelligence, virtual reality, and augmented reality undoubtedly provides a comfortable environment that promotes constant learning for people with ASD.</t>
  </si>
  <si>
    <t>[Valencia, Katherine; Rusu, Cristian; Quinones, Daniela; Jamet, Erick] Pontificia Univ Catolica Valparaiso, Sch Comp Engn, Valparaiso 2340000, Chile</t>
  </si>
  <si>
    <t>Pontificia Universidad Catolica de Valparaiso</t>
  </si>
  <si>
    <t>Valencia, K; Rusu, C (corresponding author), Pontificia Univ Catolica Valparaiso, Sch Comp Engn, Valparaiso 2340000, Chile.</t>
  </si>
  <si>
    <t>katherinevalencia25@gmail.com; cristian.rusu@pucv.cl; daniela.quinones@pucv.cl; erick.jamet@gmail.com</t>
  </si>
  <si>
    <t>Valencia, Katherine/0000-0003-3572-161X; Rusu, Cristian/0000-0002-1504-2540; Jamet, Erick/0000-0002-1402-181X; Quinones Otey, Daniela Constanza/0000-0001-8616-4839</t>
  </si>
  <si>
    <t>CONICYT PhD Scholarship in Chile 2019 [21191170]</t>
  </si>
  <si>
    <t>CONICYT PhD Scholarship in Chile 2019</t>
  </si>
  <si>
    <t>Katherine Valencia is a beneficiary of the CONICYT PhD Scholarship in Chile 2019, number: 21191170.</t>
  </si>
  <si>
    <t>OCT 2</t>
  </si>
  <si>
    <t>10.3390/s19204485</t>
  </si>
  <si>
    <t>JO8ZP</t>
  </si>
  <si>
    <t>WOS:000497864700133</t>
  </si>
  <si>
    <t>Ke, FF; Im, T</t>
  </si>
  <si>
    <t>Ke, Fengfeng; Im, Tami</t>
  </si>
  <si>
    <t>Virtual-Reality-Based Social Interaction Training for Children with High-Functioning Autism</t>
  </si>
  <si>
    <t>JOURNAL OF EDUCATIONAL RESEARCH</t>
  </si>
  <si>
    <t>autism; multiple-based across-subjects design; social interaction training; virtual reality</t>
  </si>
  <si>
    <t>SPECTRUM DISORDERS; ASPERGER-SYNDROME; YOUNG-CHILDREN; SKILLS; INTERVENTION; ADOLESCENTS; PEOPLE; ENVIRONMENTS; BEHAVIORS; EDUCATION</t>
  </si>
  <si>
    <t>Employing the multiple-baseline across-subjects design, the authors examined the implementation and potential effect of a virtual-reality-based social interaction program on the interaction and communication performance of children with high functioning autism. The data were collected via behavior observation and analysis, questionnaires, and interviewing. The children participants demonstrated increased performance of responding, initiation, greeting, and positive conversation-ending during the intervention, and improved social competence measures after the intervention. The study also contributed salient themes on the adaptive design of a virtual-reality-based learning environment for learners with special needs. The study findings should extend the discussion on the design and usage of technology-supported informal learning environment for children with diverse characteristics and learning needs.</t>
  </si>
  <si>
    <t>[Ke, Fengfeng; Im, Tami] Florida State Univ, Tallahassee, FL 32306 USA</t>
  </si>
  <si>
    <t>State University System of Florida; Florida State University</t>
  </si>
  <si>
    <t>Ke, FF (corresponding author), Florida State Univ, 3205C Stone Bldg, Tallahassee, FL 32306 USA.</t>
  </si>
  <si>
    <t>fke@fsu.edu</t>
  </si>
  <si>
    <t>Im, Tami/HPD-6713-2023</t>
  </si>
  <si>
    <t>Ke, Fengfeng/0000-0003-4203-1203; Im, Tami/0000-0002-5139-5159</t>
  </si>
  <si>
    <t>ROUTLEDGE JOURNALS, TAYLOR &amp; FRANCIS LTD</t>
  </si>
  <si>
    <t>ABINGDON</t>
  </si>
  <si>
    <t>2-4 PARK SQUARE, MILTON PARK, ABINGDON OX14 4RN, OXON, ENGLAND</t>
  </si>
  <si>
    <t>0022-0671</t>
  </si>
  <si>
    <t>1940-0675</t>
  </si>
  <si>
    <t>J EDUC RES</t>
  </si>
  <si>
    <t>J. Educ. Res.</t>
  </si>
  <si>
    <t>NOV 2</t>
  </si>
  <si>
    <t>SI</t>
  </si>
  <si>
    <t>10.1080/00220671.2013.832999</t>
  </si>
  <si>
    <t>Education &amp; Educational Research</t>
  </si>
  <si>
    <t>225QK</t>
  </si>
  <si>
    <t>WOS:000324977200004</t>
  </si>
  <si>
    <t>Josman, N; Ben-Chaim, HM; Friedrich, S; Weiss, PL</t>
  </si>
  <si>
    <t>Josman, Naomi; Ben-Chaim, Hadass Milika; Friedrich, Shula; Weiss, Patrice L. (Tamar)</t>
  </si>
  <si>
    <t>Effectiveness of virtual reality for teaching street-crossing skills to children and adolescents with autism</t>
  </si>
  <si>
    <t>INTERNATIONAL JOURNAL ON DISABILITY AND HUMAN DEVELOPMENT</t>
  </si>
  <si>
    <t>virtual reality; street crossing skills; autism; evaluation; training; Israel</t>
  </si>
  <si>
    <t>REHABILITATION; ABILITIES</t>
  </si>
  <si>
    <t>Many children with autistic spectrum disorder (ASD) are not independent in street crossing. This skill is particularly crucial because it involves exposure to potentially dangerous situations and is an important step in the development of independence. Virtual reality (VR) facilitates learning in a safe environment enabling a gradual increase in the complexity of tasks approaching the conditions of real life. The purpose of this study was to examine whether children with ASD are capable of learning the skills needed to cross a street safely via a desktop street-crossing virtual environment (VE), and to determine whether these skills are transferred to real life. The experimental group included six children with ASD. The control group included six grade and gender-matched typically developed children. Performance while street crossing within the VE was scored. A pedestrian safety checklist scored from taped video clips assessed the children's street crossing skills within a protected real sidewalk before and after VR intervention. The results demonstrated that children with ASD were capable of learning to use the VE. Significant differences were found between the performance of the experimental and control groups within the VE. Moreover, the experimental group showed substantial improvement in their ability to cross the virtual street safely after intervention. Finally, half of the experimental subjects made considerable improvement in their pedestrian behavior within the protected real-street setting following the VR intervention. The results indicate that VR may be used for teaching street-crossing skills due the likelihood to real life situations.</t>
  </si>
  <si>
    <t>[Josman, Naomi; Weiss, Patrice L. (Tamar)] Univ Haifa, Dept Occupat Therapy, Fac Social Welf &amp; Hlth sci, IL-31905 Haifa, Israel; [Friedrich, Shula] Ofer Sch Children Autism Haifa, Haifa, Israel</t>
  </si>
  <si>
    <t>University of Haifa</t>
  </si>
  <si>
    <t>Josman, N (corresponding author), Univ Haifa, Dept Occupat Therapy, Fac Social Welf &amp; Hlth sci, IL-31905 Haifa, Israel.</t>
  </si>
  <si>
    <t>naomij@research.haifa.ac.il</t>
  </si>
  <si>
    <t>FREUND PUBLISHING HOUSE LTD</t>
  </si>
  <si>
    <t>TEL AVIV</t>
  </si>
  <si>
    <t>PO BOX 35010, TEL AVIV 61350, ISRAEL</t>
  </si>
  <si>
    <t>1565-012X</t>
  </si>
  <si>
    <t>INT J DISABIL HUM DE</t>
  </si>
  <si>
    <t>Int. J. Disabil. Hum. Dev.</t>
  </si>
  <si>
    <t>Public, Environmental &amp; Occupational Health</t>
  </si>
  <si>
    <t>Science Citation Index Expanded (SCI-EXPANDED)</t>
  </si>
  <si>
    <t>302LY</t>
  </si>
  <si>
    <t>WOS:000255971000009</t>
  </si>
  <si>
    <t>Parsons, S</t>
  </si>
  <si>
    <t>Parsons, Sarah</t>
  </si>
  <si>
    <t>Authenticity in Virtual Reality for assessment and intervention in autism: A conceptual review</t>
  </si>
  <si>
    <t>EDUCATIONAL RESEARCH REVIEW</t>
  </si>
  <si>
    <t>Virtual reality; Autism; Education; Assessment; Interactive technologies</t>
  </si>
  <si>
    <t>SPECTRUM DISORDERS; SOCIAL PRESENCE; INTERACTIVE TECHNOLOGIES; LEARNING-ENVIRONMENT; ASPERGER-SYNDROME; YOUNG-ADULTS; CHILDREN; ADOLESCENTS; SKILLS; INDIVIDUALS</t>
  </si>
  <si>
    <t>Virtual Reality (VR) technologies have shown potential for learning and assessment for children, adolescents, and adults with autism. Much of the research in this area has taken a conceptual stance of veridicality; that is, that VR offers promise because it can provide authenticity and levels of realism alongside stimulus or environmental control, or both, which may first facilitate learning and the generalization of skills to the real world, and secondly can provide experimental contexts with strong ecological validity for assessment. This conceptual review raises questions about the assumption of veridicality of VR for autism research by examining research literature that has used VR to support learning and to investigate social responding. In so doing, it provides a framework for examining the assumed relationship between virtual and real contexts in order to highlight particular features of design and interaction, as well as background characteristics of participants, that may help or hinder learning and understanding in virtual environments. The conclusions suggest there is a need for the field to systematically examine the different factors that influence responding in VR in order to understand when, and under what circumstances, the responses of individuals with autism can be considered appropriately authentic. There are also opportunities for thinking more radically about research directions by focusing on the strengths and preferences of people with autism, and promoting more participatory and inclusive approaches to research. (C) 2016 Elsevier Ltd. All rights reserved.</t>
  </si>
  <si>
    <t>[Parsons, Sarah] Univ Southampton, Southampton Educ Sch, Highfield, Southampton SO17 1BJ, Hants, England</t>
  </si>
  <si>
    <t>University of Southampton</t>
  </si>
  <si>
    <t>Parsons, S (corresponding author), Univ Southampton, Southampton Educ Sch, Highfield, Southampton SO17 1BJ, Hants, England.</t>
  </si>
  <si>
    <t>s.j.parsons@soton.ac.uk</t>
  </si>
  <si>
    <t>Parsons, Sarah/0000-0002-2542-4745</t>
  </si>
  <si>
    <t>1747-938X</t>
  </si>
  <si>
    <t>1878-0385</t>
  </si>
  <si>
    <t>EDUC RES REV-NETH</t>
  </si>
  <si>
    <t>Educ. Res. Rev.</t>
  </si>
  <si>
    <t>NOV</t>
  </si>
  <si>
    <t>10.1016/j.edurev.2016.08.001</t>
  </si>
  <si>
    <t>EB6WF</t>
  </si>
  <si>
    <t>WOS:000387525600008</t>
  </si>
  <si>
    <t>Maskey, M; Lowry, J; Rodgers, J; McConachie, H; Parr, JR</t>
  </si>
  <si>
    <t>Maskey, Morag; Lowry, Jessica; Rodgers, Jacqui; McConachie, Helen; Parr, Jeremy R.</t>
  </si>
  <si>
    <t>Reducing Specific Phobia/Fear in Young People with Autism Spectrum Disorders (ASDs) through a Virtual Reality Environment Intervention</t>
  </si>
  <si>
    <t>PLOS ONE</t>
  </si>
  <si>
    <t>HIGH-FUNCTIONING AUTISM; COMORBID PSYCHIATRIC-DISORDERS; ANXIETY DISORDERS; CHILDREN; ADOLESCENTS; SYMPTOMS; YOUTH; RESPONSES; EMOTIONS; SKILLS</t>
  </si>
  <si>
    <t>Anxiety is common in children with autism spectrum disorders (ASD), with specific fears and phobias one of the most frequent subtypes. Specific fears and phobias can have a serious impact on young people with ASD and their families. In this study we developed and evaluated a unique treatment combining cognitive behaviour therapy (CBT) with graduated exposure in a virtual reality environment (VRE). Nine verbally fluent boys with an ASD diagnosis and no reported learning disability, aged 7 to 13 years old, were recruited. Each had anxiety around a specific situation (e. g. crowded buses) or stimulus (e. g. pigeons). An individualised scene was recreated in our 'wrap-around' VRE. In the VRE participants were coached by a psychologist in cognitive and behavioural techniques (e.g. relaxation and breathing exercises) while the exposure to the phobia/fear stimulus was gradually increased as the child felt ready. Each child received four 20-30 minute sessions. After participating in the study, eight of the nine children were able to tackle their phobia situation. Four of the participants completely overcame their phobia. Treatment effects were maintained at 12 months. These results provide evidence that CBT with VRE can be a highly effective treatment for specific phobia/fear for some young people with ASD.</t>
  </si>
  <si>
    <t>[Maskey, Morag; Rodgers, Jacqui; Parr, Jeremy R.] Newcastle Univ, Inst Neurosci, Newcastle Upon Tyne NE1 7RU, Tyne &amp; Wear, England; [Lowry, Jessica; McConachie, Helen] Newcastle Univ, Inst Hlth &amp; Soc, Newcastle Upon Tyne NE1 7RU, Tyne &amp; Wear, England</t>
  </si>
  <si>
    <t>Newcastle University - UK; Newcastle University - UK</t>
  </si>
  <si>
    <t>Maskey, M (corresponding author), Newcastle Univ, Inst Neurosci, Newcastle Upon Tyne NE1 7RU, Tyne &amp; Wear, England.</t>
  </si>
  <si>
    <t>morag.maskey@ncl.ac.uk; Jeremy.parr@ncl.ac.uk</t>
  </si>
  <si>
    <t>Rodgers, Jacqui/0000-0002-1759-316X; Maskey, Morag/0000-0003-4100-2515; Maxwell, Jessica/0000-0002-4163-4240; Parr, Jeremy/0000-0002-2507-7878</t>
  </si>
  <si>
    <t>Newcastle University</t>
  </si>
  <si>
    <t>Dr Morag Maskey has a Daphne Jackson Fellowship sponsored by Newcastle University (http://www.daphnejackson.org/). The funders had no role in study design, data collection and analysis, decision to publish, or preparation of the manuscript.</t>
  </si>
  <si>
    <t>PUBLIC LIBRARY SCIENCE</t>
  </si>
  <si>
    <t>SAN FRANCISCO</t>
  </si>
  <si>
    <t>1160 BATTERY STREET, STE 100, SAN FRANCISCO, CA 94111 USA</t>
  </si>
  <si>
    <t>1932-6203</t>
  </si>
  <si>
    <t>PLoS One</t>
  </si>
  <si>
    <t>JUL 2</t>
  </si>
  <si>
    <t>e100374</t>
  </si>
  <si>
    <t>10.1371/journal.pone.0100374</t>
  </si>
  <si>
    <t>Multidisciplinary Sciences</t>
  </si>
  <si>
    <t>Science &amp; Technology - Other Topics</t>
  </si>
  <si>
    <t>AO5BA</t>
  </si>
  <si>
    <t>WOS:000341354100029</t>
  </si>
  <si>
    <t>Parsons, TD; Rizzo, AA; Rogers, S; York, P</t>
  </si>
  <si>
    <t>Parsons, Thomas D.; Rizzo, Albert A.; Rogers, Steve; York, Philip</t>
  </si>
  <si>
    <t>Virtual reality in paediatric rehabilitation: A review</t>
  </si>
  <si>
    <t>DEVELOPMENTAL NEUROREHABILITATION</t>
  </si>
  <si>
    <t>Virtual reality; rehabilitation; neurocognitive; neuopsychology; paediatric; virtual environment</t>
  </si>
  <si>
    <t>COGNITIVE CHANGE; PAIN-CONTROL; ENVIRONMENT; CHILDREN; DISTRACTION; ADOLESCENTS; POWER; GAME; DEAF; TOOL</t>
  </si>
  <si>
    <t>Objective: To provide a narrative review of studies regarding the outcomes of Virtual Reality (VR)-based treatment and rehabilitation programmes within the paediatric population. Methods: Studies related to the use of VR across a number of paediatric areas (e.g. cerebral palsy, autism, foetal alcohol syndrome and attention deficits) were identified and summarized. Results: Outcomes from the studies reviewed provide preliminary support for the use of VR. Conclusion: VR may be an effective treatment method for specific disorders, although the generalizability of this literature is hindered by several methodological limitations, such as small samples and the absence of appropriate control participants.</t>
  </si>
  <si>
    <t>[Parsons, Thomas D.; Rizzo, Albert A.] Univ So Calif, Inst Creat Technol, Marina Del Rey, CA 90292 USA; [Rogers, Steve; York, Philip] Westmont Coll, Montecito, CA USA</t>
  </si>
  <si>
    <t>University of Southern California</t>
  </si>
  <si>
    <t>Parsons, TD (corresponding author), Univ So Calif, Inst Creat Technol, 13274 Fiji Way, Marina Del Rey, CA 90292 USA.</t>
  </si>
  <si>
    <t>tparsons@ict.usc.edu</t>
  </si>
  <si>
    <t>Parsons, Thomas/0000-0003-0331-5019</t>
  </si>
  <si>
    <t>TAYLOR &amp; FRANCIS INC</t>
  </si>
  <si>
    <t>PHILADELPHIA</t>
  </si>
  <si>
    <t>530 WALNUT STREET, STE 850, PHILADELPHIA, PA 19106 USA</t>
  </si>
  <si>
    <t>1751-8423</t>
  </si>
  <si>
    <t>1751-8431</t>
  </si>
  <si>
    <t>DEV NEUROREHABIL</t>
  </si>
  <si>
    <t>Dev. Neurorehabil.</t>
  </si>
  <si>
    <t>10.1080/17518420902991719</t>
  </si>
  <si>
    <t>Clinical Neurology; Pediatrics; Rehabilitation</t>
  </si>
  <si>
    <t>Neurosciences &amp; Neurology; Pediatrics; Rehabilitation</t>
  </si>
  <si>
    <t>V15FQ</t>
  </si>
  <si>
    <t>WOS:000207788300007</t>
  </si>
  <si>
    <t>Mineo, BA; Ziegler, W; Gill, S; Salkin, D</t>
  </si>
  <si>
    <t>Mineo, Beth A.; Ziegler, William; Gill, Susan; Salkin, Donna</t>
  </si>
  <si>
    <t>Engagement with Electronic Screen Media Among Students with Autism Spectrum Disorders</t>
  </si>
  <si>
    <t>Autism spectrum disorders; Video; Visual media; Engagement; Virtual reality</t>
  </si>
  <si>
    <t>DAILY LIVING SKILLS; VIRTUAL-REALITY; COMMUNICATION-SKILLS; CHILDREN; SELF; REHABILITATION; ENVIRONMENTS; ADOLESCENTS; LANGUAGE; BEHAVIOR</t>
  </si>
  <si>
    <t>This study investigated the relative engagement potential of four types of electronic screen media (ESM): animated video, video of self, video of a familiar person engaged with an immersive virtual reality (VR) game, and immersion of self in the VR game. Forty-two students with autism, varying in age and expressive communication ability, were randomly assigned to the experimental conditions. Gaze duration and vocalization served as dependent measures of engagement. The results reveal differential responding across ESM, with some variation related to the engagement metric employed. Preferences for seeing themselves on the screen, as well as for viewing the VR scenarios, emerged from the data. While the study did not yield definitive data about the relative engagement potential of ESM alternatives, it does provide a foundation for future research, including guidance related to participant profiles, stimulus characteristics, and data coding challenges.</t>
  </si>
  <si>
    <t>[Mineo, Beth A.] Univ Delaware, Newark, DE 19716 USA; [Ziegler, William] Bucks Cty Intermediate Unit, Doylestown, PA USA; [Gill, Susan; Salkin, Donna] Penn Training &amp; Tech Assistance Network, King Of Prussia, PA USA</t>
  </si>
  <si>
    <t>University of Delaware</t>
  </si>
  <si>
    <t>Mineo, BA (corresponding author), Univ Delaware, 42 E Delaware Ave, Newark, DE 19716 USA.</t>
  </si>
  <si>
    <t>mineo@asel.udel.edu</t>
  </si>
  <si>
    <t>10.1007/s10803-008-0616-0</t>
  </si>
  <si>
    <t>385RR</t>
  </si>
  <si>
    <t>WOS:000261831800017</t>
  </si>
  <si>
    <t>Smith, MJ; Fleming, MF; Wright, MA; Losh, M; Humm, LB; Olsen, D; Bell, MD</t>
  </si>
  <si>
    <t>Smith, Matthew J.; Fleming, Michael F.; Wright, Michael A.; Losh, Molly; Humm, Laura Boteler; Olsen, Dale; Bell, Morris D.</t>
  </si>
  <si>
    <t>Brief Report: Vocational Outcomes for Young Adults with Autism Spectrum Disorders at Six Months After Virtual Reality Job Interview Training</t>
  </si>
  <si>
    <t>Autism spectrum disorder; Virtual reality training; Vocational outcomes</t>
  </si>
  <si>
    <t>COMPETITIVE EMPLOYMENT; TRANSITION; YOUTH; SCHOOL; INDIVIDUALS</t>
  </si>
  <si>
    <t>Young adults with high-functioning autism spectrum disorder (ASD) have low employment rates and job interviewing presents a critical barrier to employment for them. Results from a prior randomized controlled efficacy trial suggested virtual reality job interview training (VR-JIT) improved interviewing skills among trainees with ASD, but not controls with ASD. We conducted a brief survey with 23 of 26 participants from this study to evaluate their vocational outcomes at 6-month follow-up with a focus on whether or not they attained a competitive position (employment or competitive volunteering). Logistic regression indicated VR-JIT trainees had greater odds of attaining a competitive position than controls (OR 7.82, p &lt; 0.05). Initial evidence suggests VR-JIT is a promising intervention that enhances vocational outcomes among young adults with high-functioning ASD.</t>
  </si>
  <si>
    <t>[Smith, Matthew J.; Fleming, Michael F.; Wright, Michael A.; Losh, Molly] Northwestern Univ, Feinberg Sch Med, Dept Psychiat &amp; Behav Sci, Chicago, IL 60611 USA; [Fleming, Michael F.] Northwestern Univ, Feinberg Sch Med, Dept Family Med, Chicago, IL 60611 USA; [Losh, Molly] Northwestern Univ, Sch Commun, Evanston, IL USA; [Humm, Laura Boteler; Olsen, Dale] SIMmersion LLC, Columbia, MD USA; [Bell, Morris D.] Yale Univ, Sch Med, Dept Vet Affairs, Dept Psychiat, West Haven, CT USA</t>
  </si>
  <si>
    <t>Northwestern University; Feinberg School of Medicine; Northwestern University; Feinberg School of Medicine; Northwestern University; Yale University</t>
  </si>
  <si>
    <t>Smith, MJ (corresponding author), Northwestern Univ, Feinberg Sch Med, Dept Psychiat &amp; Behav Sci, 710 N Lake Shore Dr,Abbott Hall 13th Floor, Chicago, IL 60611 USA.</t>
  </si>
  <si>
    <t>Smith, Matthew/ACM-2138-2022</t>
  </si>
  <si>
    <t>Bell, Morris/0000-0003-0795-9196; Humm, Laura/0000-0002-9642-1453; Smith, Matthew/0000-0002-0079-1477</t>
  </si>
  <si>
    <t>Department of Psychiatry and Behavioral; SIMmersion LLC</t>
  </si>
  <si>
    <t>Support for this work was provided by the Department of Psychiatry and Behavioral. The authors acknowledge research staff at Northwestern University's Clinical Research Program for data collection and our participants for volunteering their time. Dr. Olsen and Laura Boteler-Humm are employed by and own shares in SIMmersion LLC. They contributed to the manuscript, but were not involved in analyzing the data. Dr. Bell was a paid consultant by SIMmersion LLC to assist with the development of VR-JIT. Dr. Bell and his family do not have a financial stake in the company. The remaining authors report no conflicts of interest.</t>
  </si>
  <si>
    <t>10.1007/s10803-015-2470-1</t>
  </si>
  <si>
    <t>CR6CF</t>
  </si>
  <si>
    <t>WOS:000361430200027</t>
  </si>
  <si>
    <t>Newbutt, N; Sung, C; Kuo, HJ; Leahy, MJ; Lin, CC; Tong, BY</t>
  </si>
  <si>
    <t>Newbutt, Nigel; Sung, Connie; Kuo, Hung-Jen; Leahy, Michael J.; Lin, Chien-Chun; Tong, Boyang</t>
  </si>
  <si>
    <t>Brief Report: A Pilot Study of the Use of a Virtual Reality Headset in Autism Populations</t>
  </si>
  <si>
    <t>Autism spectrum disorder; Virtual reality technology; Head-mounted display; Oculus Rift (TM)</t>
  </si>
  <si>
    <t>SPECTRUM DISORDERS; SOCIAL-SKILLS; YOUNG-ADULTS; ENVIRONMENTS; ADOLESCENTS; CHILDREN; SENSE</t>
  </si>
  <si>
    <t>The application of virtual reality technologies (VRTs) for users with autism spectrum disorder (ASD) has been studied for decades. However, a gap remains in our understanding surrounding VRT head-mounted displays (HMDs). As newly designed HMDs have become commercially available (in this study the Oculus Rift (TM)) the need to investigate newer devices is immediate. This study explored willingness, acceptance, sense of presence and immersion of ASD participants. Results revealed that all 29 participants (mean age = 32; 33 % with IQ &lt; 70) were willing to wear the HMD. The majority of the participants reported an enjoyable experience, high levels of 'presence', and were likely to use HMDs again. IQ was found to be independent of the willingness to use HMDs and related VRT immersion experience.</t>
  </si>
  <si>
    <t>[Newbutt, Nigel] Univ West England, Dept Arts &amp; Cultural Ind, Bristol, Avon, England; [Sung, Connie; Kuo, Hung-Jen; Leahy, Michael J.; Lin, Chien-Chun; Tong, Boyang] Michigan State Univ, Dept Counseling Educ Psychol &amp; Special Educ, E Lansing, MI 48824 USA</t>
  </si>
  <si>
    <t>University of West England; Michigan State University</t>
  </si>
  <si>
    <t>Newbutt, N (corresponding author), Univ West England, Dept Arts &amp; Cultural Ind, Bristol, Avon, England.</t>
  </si>
  <si>
    <t>nigel.newbutt@uwe.ac.uk</t>
  </si>
  <si>
    <t>Kuo, Hung/AAS-4822-2020</t>
  </si>
  <si>
    <t>Kuo, Hung Jen/0000-0001-8365-4760</t>
  </si>
  <si>
    <t>Engineering and Physical Science Research Council (EPSRC); Digital Economy Sustainable Society Network? [EP/K003593/1]; EPSRC [EP/K003593/1] Funding Source: UKRI</t>
  </si>
  <si>
    <t>Engineering and Physical Science Research Council (EPSRC)(UK Research &amp; Innovation (UKRI)Engineering &amp; Physical Sciences Research Council (EPSRC)); Digital Economy Sustainable Society Network?; EPSRC(UK Research &amp; Innovation (UKRI)Engineering &amp; Physical Sciences Research Council (EPSRC))</t>
  </si>
  <si>
    <t>The authors wish to thank the staff of Peckham Inc. and their valuable time in working with the research team on this project. Their expertise, assistance and inputs were invaluable. We would also like to acknowledge the participants who were willing to try this technology and provide feedback; their time and inputs are truly appreciated. This study was funded by the Engineering and Physical Science Research Council (EPSRC) and a Digital Economy Sustainable Society Network?. Grant Number (EP/K003593/1).</t>
  </si>
  <si>
    <t>10.1007/s10803-016-2830-5</t>
  </si>
  <si>
    <t>DT1UE</t>
  </si>
  <si>
    <t>WOS:000381266800026</t>
  </si>
  <si>
    <t>Lahiri, U; Bekele, E; Dohrmann, E; Warren, Z; Sarkar, N</t>
  </si>
  <si>
    <t>Lahiri, Uttama; Bekele, Esubalew; Dohrmann, Elizabeth; Warren, Zachary; Sarkar, Nilanjan</t>
  </si>
  <si>
    <t>Design of a Virtual Reality Based Adaptive Response Technology for Children With Autism</t>
  </si>
  <si>
    <t>IEEE TRANSACTIONS ON NEURAL SYSTEMS AND REHABILITATION ENGINEERING</t>
  </si>
  <si>
    <t>Autism spectrum disorder (ASD); blink rate (BR); eye-tracking; fixation duration (FD); pupil diameter (PD); virtual reality (VR)</t>
  </si>
  <si>
    <t>YOUNG-CHILDREN; SPECTRUM; DEFICITS; GAZE; EYES</t>
  </si>
  <si>
    <t>Children with autism spectrum disorder (ASD) demonstrate potent impairments in social communication skills including atypical viewing patterns during social interactions. Recently, several assistive technologies, particularly virtual reality (VR), have been investigated to address specific social deficits in this population. Some studies have coupled eye-gaze monitoring mechanisms to design intervention strategies. However, presently available systems are designed to primarily chain learning via aspects of one's performance only which affords restricted range of individualization. The presented work seeks to bridge this gap by developing a novel VR-based interactive system with Gaze-sensitive adaptive response technology that can seamlessly integrate VR-based tasks with eye-tracking techniques to intelligently facilitate engagement in tasks relevant to advancing social communication skills. Specifically, such a system is capable of objectively identifying and quantifying one's engagement level by measuring real-time viewing patterns, subtle changes in eye physiological responses, as well as performance metrics in order to adaptively respond in an individualized manner to foster improved social communication skills among the participants. The developed system was tested through a usability study with eight adolescents with ASD. The results indicate the potential of the system to promote improved social task performance along with socially-appropriate mechanisms during VR-based social conversation tasks.</t>
  </si>
  <si>
    <t>[Lahiri, Uttama] Indian Inst Technol, Dept Elect Engn, Gandhinagar 382424, India; [Bekele, Esubalew] Vanderbilt Univ, Elect Engn &amp; Comp Sci Dept, Nashville, TN 37212 USA; [Dohrmann, Elizabeth] Univ Tennessee, Hlth Sci Ctr, Memphis, TN 38163 USA; [Warren, Zachary] Vanderbilt Univ, Dept Psychiat, Nashville, TN 37212 USA; [Sarkar, Nilanjan] Vanderbilt Univ, Dept Mech Engn, Nashville, TN 37212 USA</t>
  </si>
  <si>
    <t>Indian Institute of Technology System (IIT System); Indian Institute of Technology (IIT) - Gandhinagar; Vanderbilt University; University of Tennessee System; University of Tennessee Health Science Center; Vanderbilt University; Vanderbilt University</t>
  </si>
  <si>
    <t>Lahiri, U (corresponding author), Indian Inst Technol, Dept Elect Engn, Gandhinagar 382424, India.</t>
  </si>
  <si>
    <t>uttamalahiri@iitgn.ac.in; esubalew.e.bekele@vanderbilt.edu; elizabeth.dohrmann@gmail.com; zachary.e.warren@vanderbilt.edu; nilanjan.sarkar@vanderbilt.edu</t>
  </si>
  <si>
    <t>Warren, Zachary/KWU-8831-2024</t>
  </si>
  <si>
    <t>Warren, Zachary/0000-0001-9677-9386; Bekele, Esube/0000-0002-3306-4583</t>
  </si>
  <si>
    <t>Autism Speaks Pilot Study Grant [1992]; National Science Foundation [0967170]; National Institute of Health [1R01MH091102-01A1]; Directorate For Engineering; Div Of Chem, Bioeng, Env, &amp; Transp Sys [0967170] Funding Source: National Science Foundation</t>
  </si>
  <si>
    <t>Autism Speaks Pilot Study Grant; National Science Foundation(National Science Foundation (NSF)); National Institute of Health(United States Department of Health &amp; Human ServicesNational Institutes of Health (NIH) - USA); Directorate For Engineering; Div Of Chem, Bioeng, Env, &amp; Transp Sys(National Science Foundation (NSF)NSF - Directorate for Engineering (ENG))</t>
  </si>
  <si>
    <t>This work was supported in part by the Autism Speaks Pilot Study Grant [award number 1992], National Science Foundation Grant [award number 0967170] and National Institute of Health Grant [award number 1R01MH091102-01A1].</t>
  </si>
  <si>
    <t>IEEE-INST ELECTRICAL ELECTRONICS ENGINEERS INC</t>
  </si>
  <si>
    <t>PISCATAWAY</t>
  </si>
  <si>
    <t>445 HOES LANE, PISCATAWAY, NJ 08855-4141 USA</t>
  </si>
  <si>
    <t>1534-4320</t>
  </si>
  <si>
    <t>1558-0210</t>
  </si>
  <si>
    <t>IEEE T NEUR SYS REH</t>
  </si>
  <si>
    <t>IEEE Trans. Neural Syst. Rehabil. Eng.</t>
  </si>
  <si>
    <t>10.1109/TNSRE.2012.2218618</t>
  </si>
  <si>
    <t>Engineering, Biomedical; Rehabilitation</t>
  </si>
  <si>
    <t>Engineering; Rehabilitation</t>
  </si>
  <si>
    <t>069GL</t>
  </si>
  <si>
    <t>WOS:000313423200007</t>
  </si>
  <si>
    <t>Bozgeyikli, L; Raij, A; Katkoori, S; Alqasemi, R</t>
  </si>
  <si>
    <t>Bozgeyikli, Lal; Raij, Andrew; Katkoori, Srinivas; Alqasemi, Redwan</t>
  </si>
  <si>
    <t>A Survey on Virtual Reality for Individuals with Autism Spectrum Disorder: Design Considerations</t>
  </si>
  <si>
    <t>IEEE TRANSACTIONS ON LEARNING TECHNOLOGIES</t>
  </si>
  <si>
    <t>Assistive technology; user centered design; virtual reality; autism spectrum disorder; design considerations; training; targeted intervention</t>
  </si>
  <si>
    <t>HIGH-FUNCTIONING AUTISM; SOCIAL-SKILLS; YOUNG-CHILDREN; INNOVATIVE TECHNOLOGIES; PARTICIPATORY DESIGN; SENSORY PROFILE; ADOLESCENTS; ENVIRONMENTS; ADULTS; SYSTEM</t>
  </si>
  <si>
    <t>In this article, state of the art on virtual reality (VR) for individuals with autism spectrum disorder (ASD) with a focus on training/targeted intervention is discussed and reflected upon to explore areas for more future benefits. We present advantages of VR for individuals with ASD. We identify challenges and design issues for future training applications regarding individuals with ASD. We discuss and present design guidelines accumulated in the literature so far, mostly based on observations in user studies exploring the usefulness of VR as a training tool for individuals with ASD, with a systematic literature review. We present and apply a new taxonomy that classifies previous VR works on training individuals with ASD according to immersive and regular (non-immersive) VR systems and types of social, life and safety skills based on a systematic literature review. We explore the common design considerations of the previous VR studies for training individuals with ASD. Finally, based on the systematic literature reviews, we identify key gaps in the research on this topic and present future research considerations.</t>
  </si>
  <si>
    <t>[Bozgeyikli, Lal; Katkoori, Srinivas] Univ S Florida, Dept Comp Sci &amp; Engn, Tampa, FL 33620 USA; [Raij, Andrew] Univ Cent Florida, Inst Simulat &amp; Training, Orlando, FL 32816 USA; [Alqasemi, Redwan] Univ S Florida, Dept Mech Engn, Tampa, FL 33620 USA</t>
  </si>
  <si>
    <t>State University System of Florida; University of South Florida; State University System of Florida; University of Central Florida; State University System of Florida; University of South Florida</t>
  </si>
  <si>
    <t>Bozgeyikli, L (corresponding author), Univ S Florida, Dept Comp Sci &amp; Engn, Tampa, FL 33620 USA.</t>
  </si>
  <si>
    <t>gamze@mail.usf.edu; raij@ucf.edu; katkoori@mail.usf.edu; alqasemi@usf.edu</t>
  </si>
  <si>
    <t>Katkoori, Srinivas/AAY-5931-2020; Raij, Andrew/KAM-2053-2024; Raij, Andrew/G-6949-2014</t>
  </si>
  <si>
    <t>Katkoori, Srinivas/0000-0002-7589-5836; Raij, Andrew/0000-0002-2413-4105</t>
  </si>
  <si>
    <t>IEEE COMPUTER SOC</t>
  </si>
  <si>
    <t>LOS ALAMITOS</t>
  </si>
  <si>
    <t>10662 LOS VAQUEROS CIRCLE, PO BOX 3014, LOS ALAMITOS, CA 90720-1314 USA</t>
  </si>
  <si>
    <t>1939-1382</t>
  </si>
  <si>
    <t>IEEE T LEARN TECHNOL</t>
  </si>
  <si>
    <t>IEEE Trans. Learn. Technol.</t>
  </si>
  <si>
    <t>APR-JUN</t>
  </si>
  <si>
    <t>10.1109/TLT.2017.2739747</t>
  </si>
  <si>
    <t>GK2VS</t>
  </si>
  <si>
    <t>WOS:000435996300002</t>
  </si>
  <si>
    <t>Zhang, L; Wade, J; Bian, D; Fan, J; Swanson, A; Weitlauf, A; Warren, Z; Sarkar, N</t>
  </si>
  <si>
    <t>Zhang, Lian; Wade, Joshua; Bian, Dayi; Fan, Jing; Swanson, Amy; Weitlauf, Amy; Warren, Zachary; Sarkar, Nilanjan</t>
  </si>
  <si>
    <t>Cognitive Load Measurement in a Virtual Reality-Based Driving System for Autism Intervention</t>
  </si>
  <si>
    <t>IEEE TRANSACTIONS ON AFFECTIVE COMPUTING</t>
  </si>
  <si>
    <t>Multi-modal recognition; cognitivemodels; physiologicalmeasures; virtual realities; driving simulator; autismspectrum disorders</t>
  </si>
  <si>
    <t>WORKING-MEMORY; EYE-MOVEMENT; SIMULATOR; PERFORMANCE; STATISTICS; WORKLOAD; BEHAVIOR; FUSION; INTACT; EEG</t>
  </si>
  <si>
    <t>Autism Spectrum Disorder (ASD) is a highly prevalent neurodevelopmental disorder with enormous individual and social cost. In this paper, a novel virtual reality (VR)-based driving system was introduced to teach driving skills to adolescents with ASD. This driving system is capable of gathering eye gaze, electroencephalography, and peripheral physiology data in addition to driving performance data. The objective of this paper is to fuse multimodal information to measure cognitive load during driving such that driving tasks can be individualized for optimal skill learning. Individualization of ASD intervention is an important criterion due to the spectrum nature of the disorder. Twenty adolescents with ASD participated in our study and the data collected were used for systematic feature extraction and classification of cognitive loads based on five well-known machine learning methods. Subsequently, three information fusion schemes-feature level fusion, decision level fusion and hybrid level fusion-were explored. Results indicate that multimodal information fusion can be used to measure cognitive load with high accuracy. Such a mechanism is essential since it will allow individualization of driving skill training based on cognitive load, which will facilitate acceptance of this driving system for clinical use and eventual commercialization.</t>
  </si>
  <si>
    <t>[Zhang, Lian; Wade, Joshua; Bian, Dayi; Fan, Jing] Vanderbilt Univ, Dept Elect Engn &amp; Comp Sci, Nashville, TN 37203 USA; [Swanson, Amy] Vanderbilt Univ, Treatment &amp; Res Inst Autism Spectrum Disorders, Vanderbilt Kennedy Ctr, Nashville, TN 37203 USA; [Weitlauf, Amy; Warren, Zachary] Vanderbilt Univ, Treatment &amp; Res Inst Autism Spectrum Disorders, Vanderbilt Kennedy Ctr, Dept Pediat, Nashville, TN 37203 USA; [Sarkar, Nilanjan] Vanderbilt Univ, Dept Mech Engn, Dept Elect Engn &amp; Comp Sci, Nashville, TN 37203 USA</t>
  </si>
  <si>
    <t>Vanderbilt University; Vanderbilt University; Vanderbilt University; Vanderbilt University</t>
  </si>
  <si>
    <t>Zhang, L (corresponding author), Vanderbilt Univ, Dept Elect Engn &amp; Comp Sci, Nashville, TN 37203 USA.</t>
  </si>
  <si>
    <t>lian.zhang@vanderbilt.edu; joshua.w.wade@vanderbilt.edu; dayi.bian@vanderbilt.edu; jing.fan@vanderbilt.edu; amy.r.swanson@vanderbilt.edu; amy.s.weitlauf@vanderbilt.edu; zachary.e.warren@vanderbilt.edu; nilanjan.sarkar@vanderbilt.edu</t>
  </si>
  <si>
    <t>Weitlauf, Amy/AID-0725-2022; Warren, Zachary/KWU-8831-2024</t>
  </si>
  <si>
    <t>Weitlauf, Amy/0000-0002-3904-6378; Warren, Zachary/0000-0001-9677-9386</t>
  </si>
  <si>
    <t>National Institutes of Health [1R01MH091102-01A1]; National Science Foundation [0967170]; Hobbs Society Grant from the Vanderbilt Kennedy Center; Div Of Chem, Bioeng, Env, &amp; Transp Sys; Directorate For Engineering [0967170] Funding Source: National Science Foundation</t>
  </si>
  <si>
    <t>National Institutes of Health(United States Department of Health &amp; Human ServicesNational Institutes of Health (NIH) - USA); National Science Foundation(National Science Foundation (NSF)); Hobbs Society Grant from the Vanderbilt Kennedy Center; Div Of Chem, Bioeng, Env, &amp; Transp Sys; Directorate For Engineering(National Science Foundation (NSF)NSF - Directorate for Engineering (ENG))</t>
  </si>
  <si>
    <t>This work was supported in part by the National Institutes of Health Grant 1R01MH091102-01A1, National Science Foundation Grant 0967170 and the Hobbs Society Grant from the Vanderbilt Kennedy Center.</t>
  </si>
  <si>
    <t>1949-3045</t>
  </si>
  <si>
    <t>IEEE T AFFECT COMPUT</t>
  </si>
  <si>
    <t>IEEE Trans. Affect. Comput.</t>
  </si>
  <si>
    <t>10.1109/TAFFC.2016.2582490</t>
  </si>
  <si>
    <t>Computer Science, Artificial Intelligence; Computer Science, Cybernetics</t>
  </si>
  <si>
    <t>Computer Science</t>
  </si>
  <si>
    <t>EW7QS</t>
  </si>
  <si>
    <t>Green Accepted, Bronze</t>
  </si>
  <si>
    <t>WOS:000402709900004</t>
  </si>
  <si>
    <t>Cheng, YF; Huang, CL; Yang, CS</t>
  </si>
  <si>
    <t>Cheng, Yufang; Huang, Cheng-Li; Yang, Chung-Sung</t>
  </si>
  <si>
    <t>Using a 3D Immersive Virtual Environment System to Enhance Social Understanding and Social Skills for Children With Autism Spectrum Disorders</t>
  </si>
  <si>
    <t>FOCUS ON AUTISM AND OTHER DEVELOPMENTAL DISABILITIES</t>
  </si>
  <si>
    <t>single-subject experimental research; virtual environment; social understanding and social skills; children with autism spectrum disorders</t>
  </si>
  <si>
    <t>YOUNG-CHILDREN; ASPERGER-SYNDROME; REALITY; ADOLESCENTS; REHABILITATION; INTERVENTIONS; EXPLORATION; MULTIMEDIA; BEHAVIOR</t>
  </si>
  <si>
    <t>Children with autism spectrum disorders (ASDs) have a severe deficiency in social understanding and skills. The present study utilized single-subject design (N = 3) with multiple probes to investigate the effectiveness of a three-dimensional social understanding system with a head-mounted display to improve social understanding and skills in three children with ASD. We tested the proposed system based on immersive virtual environments. The target behaviors of non-verbal communication, social initiations, and social cognition for each participant and the impact of using immersive digital equipment with this population were examined simultaneously. A preliminary empirical study for three participants diagnosed with ASD was conducted over a 6-week period. The findings indicate that participants' targeted behaviors improved from baseline to intervention through maintenance following their use of the system. These suggest that the system may present an effective learning environment for the promotion of social understanding and skills in children with ASD.</t>
  </si>
  <si>
    <t>[Cheng, Yufang; Huang, Cheng-Li] Natl Changhua Univ Educ, Changhua 500, Taiwan; [Yang, Chung-Sung] Natl Chia Yi Univ, Chiayi, Taiwan</t>
  </si>
  <si>
    <t>National Changhua University of Education; National Chiayi University</t>
  </si>
  <si>
    <t>Cheng, YF (corresponding author), Natl Changhua Univ Educ, Dept Ind Educ &amp; Technol, Master Program E Learning, 1 Jin De Rd, Changhua 500, Taiwan.</t>
  </si>
  <si>
    <t>yfcheng@cc.ncue.edu.tw</t>
  </si>
  <si>
    <t>National Science Council of the Republic of China, Taiwan [NSC_99-2221-E-018-002]</t>
  </si>
  <si>
    <t>National Science Council of the Republic of China, Taiwan(Ministry of Science and Technology, Taiwan)</t>
  </si>
  <si>
    <t>The author(s) disclosed receipt of the following financial support for the research, authorship, and/or publication of this article: The authors thank the National Science Council of the Republic of China, Taiwan for financially supporting this research under Contract No. NSC_99-2221-E-018-002.</t>
  </si>
  <si>
    <t>SAGE PUBLICATIONS INC</t>
  </si>
  <si>
    <t>THOUSAND OAKS</t>
  </si>
  <si>
    <t>2455 TELLER RD, THOUSAND OAKS, CA 91320 USA</t>
  </si>
  <si>
    <t>1088-3576</t>
  </si>
  <si>
    <t>1538-4829</t>
  </si>
  <si>
    <t>FOCUS AUTISM DEV DIS</t>
  </si>
  <si>
    <t>Focus Autism Dev. Disabil.</t>
  </si>
  <si>
    <t>10.1177/1088357615583473</t>
  </si>
  <si>
    <t>Education, Special; Psychology, Developmental; Rehabilitation</t>
  </si>
  <si>
    <t>Education &amp; Educational Research; Psychology; Rehabilitation</t>
  </si>
  <si>
    <t>CV3VH</t>
  </si>
  <si>
    <t>WOS:000364194000003</t>
  </si>
  <si>
    <t>Herrera, G; Alcantud, F; Jordan, R; Blanquer, A; Labajo, G; De Pablo, C</t>
  </si>
  <si>
    <t>Herrera, Gerardo; Alcantud, Francisco; Jordan, Rita; Blanquer, Amparo; Labajo, Gabriel; De Pablo, Cristina</t>
  </si>
  <si>
    <t>Development of symbolic play through the use of virtual reality tools in children with autistic spectrum disorders</t>
  </si>
  <si>
    <t>autism; imagination; pretend play; virtual reality</t>
  </si>
  <si>
    <t>REPRESENTATION; EPIDEMIOLOGY</t>
  </si>
  <si>
    <t>Difficulties in understanding symbolism have been documented as characteristic of autistic spectrum disorders (ASDs). In general, virtual reality (VR) environments offer a set of potential advantages for educational intervention in ASD. In particular, VR offers the advantage, for teaching pretend play and for understanding imagination, of it being possible to show these imaginary transformations explicitly. This article reports two case studies of children with autism (aged 8:6 and 15:7, both male), examining the effectiveness of using a VR tool specifically designed to work on teaching understanding of pretend play. The results, confirmed by independent observers, showed a significant advance in pretend play abilities after the intervention period in both participants, and a high degree of generalization of the acquired teaching in one of them.</t>
  </si>
  <si>
    <t>[Jordan, Rita] Univ Birmingham, Sch Educ, Birmingham B15 2TT, W Midlands, England; [Herrera, Gerardo; Alcantud, Francisco] Univ Valencia Estudi Gen, Valencia, Spain</t>
  </si>
  <si>
    <t>University of Birmingham; University of Valencia</t>
  </si>
  <si>
    <t>Jordan, R (corresponding author), Univ Birmingham, Sch Educ, Birmingham B15 2TT, W Midlands, England.</t>
  </si>
  <si>
    <t>r.r.jordan@bham.ac.uk</t>
  </si>
  <si>
    <t>Herrera, Gerardo/AAQ-3698-2020; Alcantud, Francisco/D-8573-2011</t>
  </si>
  <si>
    <t>Herrera, Gerardo/0000-0002-6855-0143; Alcantud, Francisco/0000-0001-6022-5437</t>
  </si>
  <si>
    <t>10.1177/1362361307086657</t>
  </si>
  <si>
    <t>290MD</t>
  </si>
  <si>
    <t>WOS:000255126000003</t>
  </si>
  <si>
    <t>Bekele, E; Zheng, Z; Swanson, A; Crittendon, J; Warren, Z; Sarkar, N</t>
  </si>
  <si>
    <t>Bekele, Esubalew; Zheng, Zhi; Swanson, Amy; Crittendon, Julie; Warren, Zachary; Sarkar, Nilanjan</t>
  </si>
  <si>
    <t>Understanding How Adolescents with Autism Respond to Facial Expressions in Virtual Reality Environments</t>
  </si>
  <si>
    <t>IEEE TRANSACTIONS ON VISUALIZATION AND COMPUTER GRAPHICS</t>
  </si>
  <si>
    <t>20th IEEE Virtual Reality Conference (VR)</t>
  </si>
  <si>
    <t>MAR 16-23, 2013</t>
  </si>
  <si>
    <t>Orlando, FL</t>
  </si>
  <si>
    <t>IEEE,IEEE Comp Soc,IEEE Comp Soc Visualizat &amp; Graph Tech Comm</t>
  </si>
  <si>
    <t>3D Interaction; multimodal interaction; psychology; usability; vr-based response systems</t>
  </si>
  <si>
    <t>YOUNG-CHILDREN; INTERVENTION; ATTENTION; EMOTIONS</t>
  </si>
  <si>
    <t>Autism Spectrum Disorders (ASD) are characterized by atypical patterns of behaviors and impairments in social communication. Among the fundamental social impairments in the ASD population are challenges in appropriately recognizing and responding to facial expressions. Traditional intervention approaches often require intensive support and well-trained therapists to address core deficits, with many with ASD having tremendous difficulty accessing such care due to lack of available trained therapists as well as intervention costs. As a result, emerging technology such as virtual reality (VR) has the potential to offer useful technology-enabled intervention systems. In this paper, an innovative VR-based facial emotional expression presentation system was developed that allows monitoring of eye gaze and physiological signals related to emotion identification to explore new efficient therapeutic paradigms. A usability study of this new system involving ten adolescents with ASD and ten typically developing adolescents as a control group was performed. The eye tracking and physiological data were analyzed to determine intragroup and intergroup variations of gaze and physiological patterns. Performance data, eye tracking indices and physiological features indicated that there were differences in the way adolescents with ASD process and recognize emotional faces compared to their typically developing peers. These results will be used in the future for an online adaptive VR-based multimodal social interaction system to improve emotion recognition abilities of individuals with ASD.</t>
  </si>
  <si>
    <t>[Bekele, Esubalew; Zheng, Zhi] Vanderbilt Univ, Dept EECS, Nashville, TN 37240 USA; [Swanson, Amy] Vanderbilt Univ, Nashville, TN USA; [Crittendon, Julie; Warren, Zachary] Vanderbilt Univ, Dept Pediat &amp; Psychiat, Nashville, TN USA; [Sarkar, Nilanjan] Vanderbilt Univ, Dept Mech Engn, Nashville, TN USA</t>
  </si>
  <si>
    <t>Bekele, E (corresponding author), Vanderbilt Univ, Dept EECS, Nashville, TN 37240 USA.</t>
  </si>
  <si>
    <t>esubalew.bekele@vanderbilt.edu; zhi.zheng@vanderbilt.edu; amy.r.swanson@vanderbilt.edu; julie.a.crittendon@vanderbilt.edu; zachary.e.warren@vanderbilt.edu; nilanjan.sarkar@vanderbilt.edu</t>
  </si>
  <si>
    <t>; Warren, Zachary/KWU-8831-2024</t>
  </si>
  <si>
    <t>Zheng, Zhi/0000-0001-6211-6744; Warren, Zachary/0000-0001-9677-9386; Bekele, Esube/0000-0002-3306-4583</t>
  </si>
  <si>
    <t>Directorate For Engineering; Div Of Chem, Bioeng, Env, &amp; Transp Sys [0967170] Funding Source: National Science Foundation; NIMH NIH HHS [R01 MH091102, 1R01MH091102-01A1] Funding Source: Medline</t>
  </si>
  <si>
    <t>Directorate For Engineering; Div Of Chem, Bioeng, Env, &amp; Transp Sys(National Science Foundation (NSF)NSF - Directorate for Engineering (ENG)); NIMH NIH HHS(United States Department of Health &amp; Human ServicesNational Institutes of Health (NIH) - USANIH National Institute of Mental Health (NIMH))</t>
  </si>
  <si>
    <t>1077-2626</t>
  </si>
  <si>
    <t>1941-0506</t>
  </si>
  <si>
    <t>IEEE T VIS COMPUT GR</t>
  </si>
  <si>
    <t>IEEE Trans. Vis. Comput. Graph.</t>
  </si>
  <si>
    <t>APR</t>
  </si>
  <si>
    <t>10.1109/TVCG.2013.42</t>
  </si>
  <si>
    <t>Computer Science, Software Engineering</t>
  </si>
  <si>
    <t>Science Citation Index Expanded (SCI-EXPANDED); Social Science Citation Index (SSCI); Conference Proceedings Citation Index - Science (CPCI-S)</t>
  </si>
  <si>
    <t>109ZB</t>
  </si>
  <si>
    <t>WOS:000316409700026</t>
  </si>
  <si>
    <t>Cai, YY; Chia, NKH; Thalmann, D; Kee, NKN; Zheng, JM; Thalmann, NM</t>
  </si>
  <si>
    <t>Cai, Yiyu; Chia, Noel K. H.; Thalmann, Daniel; Kee, Norman K. N.; Zheng, Jianmin; Thalmann, Nadia M.</t>
  </si>
  <si>
    <t>Design and Development of a Virtual Dolphinarium for Children With Autism</t>
  </si>
  <si>
    <t>Autism; dolphins; immersive and interactive learning; nonverbal communication; virtual reality (VR)</t>
  </si>
  <si>
    <t>ELECTRONIC SCREEN MEDIA; SPECTRUM DISORDERS; ASSISTED THERAPY</t>
  </si>
  <si>
    <t>The recent proliferation of virtual reality (VR) technology applications in the autism therapy to promote learning and positive behavior among such children has produced optimistic results in developing a variety of skills and abilities in them. Dolphin-assisted therapy has also become a topic of public and research interest for autism intervention and treatment. This paper will present an innovative design and development of a Virtual Dolphinarium for potential autism intervention. Instead of emulating the swimming with dolphins, our virtual dolphin interaction program will allow children with autism to act as dolphin trainers at the poolside and to learn (nonverbal) communication through hand gestures with the virtual dolphins. Immersive visualization and gesture-based interaction are implemented to engage children with autism within an immersive room equipped with a curved screen spanning a 32 degrees and a high-end five-panel projection system. This paper will also report a pilot study to establish trial protocol of autism screening to explore the participants' readiness for the virtual dolphin interaction. This research will have two potential benefits in the sense of helping children with autism and protecting the endangered species.</t>
  </si>
  <si>
    <t>[Cai, Yiyu; Thalmann, Daniel; Thalmann, Nadia M.] Nanyang Technol Univ, Inst Media Innovat, Singapore 637553, Singapore; [Chia, Noel K. H.; Kee, Norman K. N.] Natl Inst Educ, Singapore 637616, Singapore; [Cai, Yiyu] Nanyang Technol Univ, Sch Mech &amp; Aerosp Engn, Singapore 639798, Singapore; [Zheng, Jianmin] Nanyang Technol Univ, Sch Comp Engn, Singapore 639798, Singapore</t>
  </si>
  <si>
    <t>Nanyang Technological University; Nanyang Technological University; National Institute of Education (NIE) Singapore; Nanyang Technological University; Nanyang Technological University</t>
  </si>
  <si>
    <t>Cai, YY (corresponding author), Nanyang Technol Univ, Inst Media Innovat, Singapore 637553, Singapore.</t>
  </si>
  <si>
    <t>myycai@ntu.edu.sg; khchia@nie.edu.sg; danielthalmann@ntu.edu.sg; knkee@nie.edu.sg; jmzheng@ntu.edu.sg; nadiathal-mann@ntu.edu.sg</t>
  </si>
  <si>
    <t>Zheng, Jianmin/A-3717-2011; Thalmann, Nadia/AAK-5195-2021; Thalmann, Daniel/A-4347-2008; Cai, Yiyu/A-3816-2011</t>
  </si>
  <si>
    <t>CAI, Y/0000-0002-8406-9536; Zheng, Jianmin/0000-0002-5062-6226; Thalmann, Nadia/0000-0002-1459-5960</t>
  </si>
  <si>
    <t>Institute for Media Innovation under the Seed Grant Scheme; Underwater World Singapore; LDcentre</t>
  </si>
  <si>
    <t>This work was supported by the Institute for Media Innovation under the Seed Grant Scheme. Y. Cai and N. K. H. Chia are first authors of the paper with no order difference.The authors would like to thank M. X. Wu, D. J. Lu, B. Y. Yang, and many others for their helps in this project. The project team would also like to thank the support from the Underwater World Singapore and A. G. T. Ng, the principal therapist from the LDcentre, who has kindly arranged for parents of those children from the Pink Dolphin Encounter for Special Children program to participate in the study.</t>
  </si>
  <si>
    <t>10.1109/TNSRE.2013.2240700</t>
  </si>
  <si>
    <t>108AW</t>
  </si>
  <si>
    <t>WOS:000316264100007</t>
  </si>
  <si>
    <t>Zhang, MY; Ding, HW; Naumceska, M; Zhang, Y</t>
  </si>
  <si>
    <t>Zhang, Minyue; Ding, Hongwei; Naumceska, Meri; Zhang, Yang</t>
  </si>
  <si>
    <t>Virtual Reality Technology as an Educational and Intervention Tool for Children with Autism Spectrum Disorder: Current Perspectives and Future Directions</t>
  </si>
  <si>
    <t>BEHAVIORAL SCIENCES</t>
  </si>
  <si>
    <t>virtual reality; autism spectrum disorder; education; intervention; childhood and adolescence</t>
  </si>
  <si>
    <t>COGNITIVE REHABILITATION; SOCIAL-SKILLS; YOUNG-ADULTS; LEARNING ENVIRONMENTS; BEHAVIORAL TREATMENT; FACIAL EXPRESSIONS; SYSTEM; ADOLESCENTS; EMOTION; COMMUNICATION</t>
  </si>
  <si>
    <t>The worldwide rising trend of autism spectrum disorder (ASD) calls for innovative and efficacious techniques for assessment and treatment. Virtual reality (VR) technology gains theoretical support from rehabilitation and pedagogical theories and offers a variety of capabilities in educational and interventional contexts with affordable products. VR is attracting increasing attention in the medical and healthcare industry, as it provides fully interactive three-dimensional simulations of real-world settings and social situations, which are particularly suitable for cognitive and performance training, including social and interaction skills. This review article offers a summary of current perspectives and evidence-based VR applications for children with ASD, with a primary focus on social communication, including social functioning, emotion recognition, and speech and language. Technology- and design-related limitations, as well as disputes over the application of VR to autism research and therapy, are discussed, and future directions of this emerging field are highlighted with regards to application expansion and improvement, technology enhancement, linguistic diversity, and the development of theoretical models and brain-based research.</t>
  </si>
  <si>
    <t>[Zhang, Minyue; Ding, Hongwei] Shanghai Jiao Tong Univ, Sch Foreign Languages, Speech Language Hearing Ctr, Shanghai 200240, Peoples R China; [Naumceska, Meri] 70 Flowers Assoc Early Intervent &amp; Educ Children, Skopje 1000, North Macedonia; [Zhang, Yang] Univ Minnesota, Dept Speech Language Hearing Sci, Minneapolis, MN 55455 USA</t>
  </si>
  <si>
    <t>Shanghai Jiao Tong University; University of Minnesota System; University of Minnesota Twin Cities</t>
  </si>
  <si>
    <t>Ding, HW (corresponding author), Shanghai Jiao Tong Univ, Sch Foreign Languages, Speech Language Hearing Ctr, Shanghai 200240, Peoples R China.;Zhang, Y (corresponding author), Univ Minnesota, Dept Speech Language Hearing Sci, Minneapolis, MN 55455 USA.</t>
  </si>
  <si>
    <t>zhang.my@sjtu.edu.cn; hwding@sjtu.edu.cn; merinaumceska@gmail.com; zhanglab@umn.edu</t>
  </si>
  <si>
    <t>Zhang, Minyue/HJG-9203-2022; Zhang, Yang/Q-1780-2015</t>
  </si>
  <si>
    <t>Zhang, Minyue/0000-0002-4428-2500; Zhang, Yang/0000-0001-6777-3487</t>
  </si>
  <si>
    <t>National Social Science Foundation of China [18ZDA293]; SEED grant; Brain Imaging Grant from the University of Minnesota</t>
  </si>
  <si>
    <t>National Social Science Foundation of China(National Office of Philosophy and Social Sciences); SEED grant; Brain Imaging Grant from the University of Minnesota(University of Minnesota System)</t>
  </si>
  <si>
    <t>This work was supported by grants from the Major Project of National Social Science Foundation of China (18ZDA293). Y.Z. was additionally supported by the SEED grant and Brain Imaging Grant from the University of Minnesota.</t>
  </si>
  <si>
    <t>2076-328X</t>
  </si>
  <si>
    <t>BEHAV SCI-BASEL</t>
  </si>
  <si>
    <t>Behav. Sci.</t>
  </si>
  <si>
    <t>10.3390/bs12050138</t>
  </si>
  <si>
    <t>Psychology, Multidisciplinary</t>
  </si>
  <si>
    <t>1O9VS</t>
  </si>
  <si>
    <t>gold, Green Published, Green Submitted</t>
  </si>
  <si>
    <t>WOS:000801670600001</t>
  </si>
  <si>
    <t>Self, T; Scudder, RR; Weheba, G; Crumrine, D</t>
  </si>
  <si>
    <t>Self, Trisha; Scudder, Rosalind R.; Weheba, Gamal; Crumrine, Daiquirie</t>
  </si>
  <si>
    <t>A virtual approach to teaching safety skills to children with autism spectrum disorder</t>
  </si>
  <si>
    <t>TOPICS IN LANGUAGE DISORDERS</t>
  </si>
  <si>
    <t>Recent advancements in the development of hardware/software configurations for delivering virtual reality (VR) environments to individuals with disabilities have included approaches for children with autism spectrum disorder (ASD). This article describes a study comparing benefits of using VR to benefits of an integrated/visual treatment model when teaching safety skills to children with ASD in a public school setting. Participants were 8 children diagnosed with ASD who were randomly assigned to receive either VR or an integrated/visual treatment model to learn fire and tornado safety skills. Both groups improved in their learning and transfer of safety skills. The VR group, however, learned these skills in considerably less time. Implications and suggestions for the use of VR in educational settings are presented.</t>
  </si>
  <si>
    <t>Wichita State Univ, Dept Commun Sci &amp; Disorders, Wichita, KS 67260 USA; Wichita State Univ, Dept Ind &amp; Mfg Engn, Wichita, KS 67260 USA; Wichita State Univ, Wichita Publ Sch, Wichita, KS 67260 USA</t>
  </si>
  <si>
    <t>Wichita State University; Wichita State University; Wichita State University</t>
  </si>
  <si>
    <t>Self, T (corresponding author), Wichita State Univ, Dept Commun Sci &amp; Disorders, 1845 Fairmount, Wichita, KS 67260 USA.</t>
  </si>
  <si>
    <t>trisha.self@wichita.edu</t>
  </si>
  <si>
    <t>LIPPINCOTT WILLIAMS &amp; WILKINS</t>
  </si>
  <si>
    <t>TWO COMMERCE SQ, 2001 MARKET ST, PHILADELPHIA, PA 19103 USA</t>
  </si>
  <si>
    <t>0271-8294</t>
  </si>
  <si>
    <t>1550-3259</t>
  </si>
  <si>
    <t>TOP LANG DISORD</t>
  </si>
  <si>
    <t>Top. Lang. Disord.</t>
  </si>
  <si>
    <t>JUL-SEP</t>
  </si>
  <si>
    <t>10.1097/01.TLD.0000285358.33545.79</t>
  </si>
  <si>
    <t>Linguistics; Rehabilitation</t>
  </si>
  <si>
    <t>204LE</t>
  </si>
  <si>
    <t>WOS:000249044500005</t>
  </si>
  <si>
    <t>Karami, B; Koushki, R; Arabgol, F; Rahmani, M; Vahabie, AH</t>
  </si>
  <si>
    <t>Karami, Behnam; Koushki, Roxana; Arabgol, Fariba; Rahmani, Maryam; Vahabie, Abdol-Hossein</t>
  </si>
  <si>
    <t>Effectiveness of Virtual/Augmented Reality-Based Therapeutic Interventions on Individuals With Autism Spectrum Disorder: A Comprehensive Meta-Analysis</t>
  </si>
  <si>
    <t>autism spectrum disorder; virtual reality; rehabilitation; technology; augmented reality</t>
  </si>
  <si>
    <t>COMPUTER-ASSISTED-INSTRUCTION; ROBUST VARIANCE-ESTIMATION; TEACH SOCIAL-SKILLS; VIRTUAL-REALITY; AUGMENTED REALITY; YOUNG-ADULTS; EFFECT SIZES; CHILDREN; ENVIRONMENTS; ADOLESCENTS</t>
  </si>
  <si>
    <t>In recent years, the application of virtual reality (VR) for therapeutic purposes has escalated dramatically. Favorable properties of VR for engaging patients with autism, in particular, have motivated an enormous body of investigations targeting autism-related disabilities with this technology. This study aims to provide a comprehensive meta-analysis for evaluating the effectiveness of VR on the rehabilitation and training of individuals diagnosed with an autism spectrum disorder. Accordingly, we conducted a systematic search of related databases and, after screening for inclusion criteria, reviewed 33 studies for more detailed analysis. Results revealed that individuals undergoing VR training have remarkable improvements with a relatively large effect size with Hedges g of 0.74. Furthermore, the results of the analysis of different skills indicated diverse effectiveness. The strongest effect was observed for daily living skills (g = 1.15). This effect was moderate for other skills: g = 0.45 for cognitive skills, g = 0.46 for emotion regulation and recognition skills, and g = 0.69 for social and communication skills. Moreover, five studies that had used augmented reality also showed promising efficacy (g = 0.92) that calls for more research on this tool. In conclusion, the application of VR-based settings in clinical practice is highly encouraged, although their standardization and customization need more research.</t>
  </si>
  <si>
    <t>[Karami, Behnam; Koushki, Roxana] Inst Res Fundamental Sci IPM, Sch Cognit Sci, Tehran, Iran; [Karami, Behnam] German Primate Ctr, Cognit Neurosci Lab, Gottingen, Germany; [Karami, Behnam; Koushki, Roxana; Arabgol, Fariba; Rahmani, Maryam] Shahid Beheshti Univ Med Sci, Sch Med, Tehran, Iran; [Arabgol, Fariba] Shahid Beheshti Univ Med Sci, Behav Sci Res Ctr, Tehran, Iran; [Vahabie, Abdol-Hossein] Univ Tehran, Dept Psychol, Fac Psychol &amp; Educ, Tehran, Iran; [Vahabie, Abdol-Hossein] Univ Tehran, Coll Engn, Control &amp; Intelligent Proc Ctr Excellence CIPCE, Sch Elect &amp; Comp Engn,Cognit Syst Lab, Tehran, Iran</t>
  </si>
  <si>
    <t>Institute for Research in Fundamental Sciences IPM; Leibniz Association; Deutsches Primatenzentrum (DPZ); Shahid Beheshti University Medical Sciences; Shahid Beheshti University Medical Sciences; University of Tehran; University of Tehran</t>
  </si>
  <si>
    <t>Vahabie, AH (corresponding author), Univ Tehran, Dept Psychol, Fac Psychol &amp; Educ, Tehran, Iran.;Vahabie, AH (corresponding author), Univ Tehran, Coll Engn, Control &amp; Intelligent Proc Ctr Excellence CIPCE, Sch Elect &amp; Comp Engn,Cognit Syst Lab, Tehran, Iran.</t>
  </si>
  <si>
    <t>h.vahabie@ut.ac.ir</t>
  </si>
  <si>
    <t>arabgol, fariba/U-1255-2019; Vahabie, Abdol-Hossein/AAI-2000-2019</t>
  </si>
  <si>
    <t>Karami, Behnam/0000-0001-6594-6516; Vahabie, Abdol-Hossein/0000-0003-1603-8866</t>
  </si>
  <si>
    <t>JUN 23</t>
  </si>
  <si>
    <t>10.3389/fpsyt.2021.665326</t>
  </si>
  <si>
    <t>TE8YF</t>
  </si>
  <si>
    <t>Green Published, gold</t>
  </si>
  <si>
    <t>WOS:000670292500001</t>
  </si>
  <si>
    <t>Ke, FF; Moon, J; Sokolikj, Z</t>
  </si>
  <si>
    <t>Ke, Fengfeng; Moon, Jewoong; Sokolikj, Zlatko</t>
  </si>
  <si>
    <t>Virtual Reality-Based Social Skills Training for Children With Autism Spectrum Disorder</t>
  </si>
  <si>
    <t>JOURNAL OF SPECIAL EDUCATION TECHNOLOGY</t>
  </si>
  <si>
    <t>social skills; autism; virtual reality; naturalistic intervention; simulation</t>
  </si>
  <si>
    <t>HIGH-FUNCTIONING AUTISM; TECHNOLOGY-BASED INTERVENTIONS; YOUTH; ENVIRONMENTS; ADOLESCENTS; IDENTITY; DESIGN; ADULTS</t>
  </si>
  <si>
    <t>In this study, the researchers explored the usage of a virtual reality (VR)-based social skills learning environment for children with autism spectrum disorder (ASD). Using OpenSimulator, the researchers constructed a desktop VR-based learning environment that supports social-oriented role-play, gaming, and design by children with ASD. Seven 10-14 years old children with ASD participated in this VR-based social skills program for 20+ hr on average. Data were collected via screen recording and observation of play- and design-oriented social skills enactment and pre- and postintervention Social Communication and Skills Questionnaires. Participants demonstrated an increased level of successful social skills performance from the baseline to the intervention phase. The findings provided preliminary evidence for the usage of a VR-based social skills learning environment for children with ASD.</t>
  </si>
  <si>
    <t>[Ke, Fengfeng; Moon, Jewoong] Florida State Univ, Coll Educ, Dept Educ Psychol &amp; Learning Syst, 3205-F Stone Bldg, Tallahassee, FL 32306 USA; [Sokolikj, Zlatko] Florida State Univ, Dept Comp Sci, Sch Arts &amp; Sci, Tallahassee, FL 32306 USA</t>
  </si>
  <si>
    <t>State University System of Florida; Florida State University; State University System of Florida; Florida State University</t>
  </si>
  <si>
    <t>Ke, FF (corresponding author), Florida State Univ, Coll Educ, Dept Educ Psychol &amp; Learning Syst, 3205-F Stone Bldg, Tallahassee, FL 32306 USA.</t>
  </si>
  <si>
    <t>Moon, Jewoong/AFN-2663-2022</t>
  </si>
  <si>
    <t>Moon, Jewoong/0000-0001-6311-3019</t>
  </si>
  <si>
    <t>Spencer Foundation, Chicago, IL [201400178]</t>
  </si>
  <si>
    <t>Spencer Foundation, Chicago, IL</t>
  </si>
  <si>
    <t>The author(s) disclosed receipt of the following financial support for the research, authorship, and/or publication of this article: This work was supported by the Spencer Foundation, Chicago, IL (Grant Number 201400178).</t>
  </si>
  <si>
    <t>0162-6434</t>
  </si>
  <si>
    <t>2381-3121</t>
  </si>
  <si>
    <t>J SPEC EDUC TECHNOL</t>
  </si>
  <si>
    <t>J. Spec. Educ. Technol.</t>
  </si>
  <si>
    <t>10.1177/0162643420945603</t>
  </si>
  <si>
    <t>SEP 2020</t>
  </si>
  <si>
    <t>Education, Special; Rehabilitation</t>
  </si>
  <si>
    <t>Education &amp; Educational Research; Rehabilitation</t>
  </si>
  <si>
    <t>ZM2OG</t>
  </si>
  <si>
    <t>WOS:000570666400001</t>
  </si>
  <si>
    <t>Herrero, JF; Lorenzo, G</t>
  </si>
  <si>
    <t>Fernandez Herrero, Jorge; Lorenzo, Gonzalo</t>
  </si>
  <si>
    <t>An immersive virtual reality educational intervention on people with autism spectrum disorders (ASD) for the development of communication skills and problem solving</t>
  </si>
  <si>
    <t>EDUCATION AND INFORMATION TECHNOLOGIES</t>
  </si>
  <si>
    <t>Autism Spectrum disorders; Immersive virtual reality; Autism; HMD</t>
  </si>
  <si>
    <t>HIGH-FUNCTIONING AUTISM; SOCIAL-SKILLS; LEARNING-ENVIRONMENT; CHILDREN; ADOLESCENTS; STUDENTS; RESPONSES; TECHNOLOGY; ATTENTION; SYSTEM</t>
  </si>
  <si>
    <t>This paper proposes the design and application of a head mounted display (HMD) immersive virtual reality system to improve and train the emotional and social skills of students with autism spectrum disorders. We selected two groups of 7 high functioning ASD children each, ages between 8 and 15, and similar educational capabilities. On the first group, we applied an own intervention design working on social and emotional competences along 10 sessions by using Immersive Virtual Reality (IVR) as a didactical tool, re-creating virtual environments of socialization (a classroom and a play garden). The second group is used as control, and as such is not put through any sort of intervention during the intervention period. The adaptation levels and the improvements obtained suggest that IVR in the presented format is in line with the sensory preferences and visuospatial strength of the ASD children participating in this study. Consequently, we may conclude that IVR can be satisfactory used as educational tool for ASD children.</t>
  </si>
  <si>
    <t>[Fernandez Herrero, Jorge] Univ Alicante, Dept Gen &amp; Specif Didact, Alicante, Spain; [Lorenzo, Gonzalo] Univ Alicante, Dept Dev Psychol &amp; Teaching, Carretera San Vicente del Raspeig S-N, Alicante 03690, Spain</t>
  </si>
  <si>
    <t>Universitat d'Alacant; Universitat d'Alacant</t>
  </si>
  <si>
    <t>Lorenzo, G (corresponding author), Univ Alicante, Dept Dev Psychol &amp; Teaching, Carretera San Vicente del Raspeig S-N, Alicante 03690, Spain.</t>
  </si>
  <si>
    <t>j.ferher@ua.es; glledo@ua.es</t>
  </si>
  <si>
    <t>Lorenzo, Gonzalo/L-8243-2017; Fernandez-Herrero, Jorge/AAC-5887-2021</t>
  </si>
  <si>
    <t>FERNANDEZ-HERRERO, Jorge/0000-0003-1545-8906; Lorenzo, Gonzalo/0000-0002-1997-6260</t>
  </si>
  <si>
    <t>SPRINGER</t>
  </si>
  <si>
    <t>ONE NEW YORK PLAZA, SUITE 4600, NEW YORK, NY, UNITED STATES</t>
  </si>
  <si>
    <t>1360-2357</t>
  </si>
  <si>
    <t>1573-7608</t>
  </si>
  <si>
    <t>EDUC INF TECHNOL</t>
  </si>
  <si>
    <t>Educ. Inf. Technol.</t>
  </si>
  <si>
    <t>10.1007/s10639-019-10050-0</t>
  </si>
  <si>
    <t>LN2ON</t>
  </si>
  <si>
    <t>WOS:000532783100013</t>
  </si>
  <si>
    <t>Fan, J; Wade, JW; Key, AP; Warren, ZE; Sarkar, N</t>
  </si>
  <si>
    <t>Fan, Jing; Wade, Joshua W.; Key, Alexandra P.; Warren, Zachary E.; Sarkar, Nilanjan</t>
  </si>
  <si>
    <t>EEG-Based Affect and Workload Recognition in a Virtual Driving Environment for ASD Intervention</t>
  </si>
  <si>
    <t>IEEE TRANSACTIONS ON BIOMEDICAL ENGINEERING</t>
  </si>
  <si>
    <t>Affective computing; electroencephalogram; mental workload recognition; virtual reality-based driving simulator</t>
  </si>
  <si>
    <t>YOUNG-ADULTS; EMOTION RECOGNITION; AUTISM</t>
  </si>
  <si>
    <t>Objective: To build group-level classification models capable of recognizing affective states and mental workload of individuals with autism spectrum disorder (ASD) during driving skill training. Methods: Twenty adolescents with ASD participated in a six-session virtual reality driving simulator-based experiment, during which their electroencephalogram (EEG) data were recorded alongside driving events and a therapist's rating of their affective states and mental workload. Five feature generation approaches including statistical features, fractal dimension features, higher order crossings (HOC)-based features, power features from frequency bands, and power features from bins (Delta f = 2 Hz) were applied to extract relevant features. Individual differences were removed with a two-step feature calibration method. Finally, binary classification results based on the k-nearest neighbors algorithm and univariate feature selection method were evaluated by leave-one-subject-out nested cross-validation to compare feature types and identify discriminative features. Results: The best classification results were achieved using power features from bins for engagement (0.95) and boredom (0.78), and HOC-based features for enjoyment (0.90), frustration (0.88), and workload (0.86). Conclusion: Offline EEG-based group-level classification models are feasible for recognizing binary low and high intensity of affect and workload of individuals with ASD in the context of driving. However, while promising the applicability of the models in an online adaptive driving task requires further development. Significance: The developed models provide a basis for an EEG-based passive brain computer interface system that has the potential to benefit individuals with ASD with an affect- and workload-based individualized driving skill training intervention.</t>
  </si>
  <si>
    <t>[Fan, Jing; Wade, Joshua W.] Vanderbilt Univ, Elect Engn &amp; Comp Sci Dept, Nashville, TN 37235 USA; [Key, Alexandra P.] Vanderbilt Univ, Vanderbilt Kennedy Ctr Res Human Dev, Nashville, TN 37235 USA; [Key, Alexandra P.] Vanderbilt Univ, Dept Hearing &amp; Speech Sci, Nashville, TN 37235 USA; [Warren, Zachary E.] Vanderbilt Kennedy Ctr, Treatment &amp; Res Inst Autism Spectrum Disorders Pe, Nashville, TN USA; [Sarkar, Nilanjan] Vanderbilt Univ, Elect Engn &amp; Comp Sci Dept, Mech Engn Dept, Nashville, TN 37235 USA</t>
  </si>
  <si>
    <t>Vanderbilt University; Vanderbilt University; Vanderbilt University; Vanderbilt University; Vanderbilt University</t>
  </si>
  <si>
    <t>Fan, J (corresponding author), Vanderbilt Univ, Elect Engn &amp; Comp Sci Dept, Nashville, TN 37235 USA.</t>
  </si>
  <si>
    <t>jing.fan@vanderbilt.edu</t>
  </si>
  <si>
    <t>Warren, Zachary/0000-0001-9677-9386</t>
  </si>
  <si>
    <t>National Institute of Health [1R21AG050483-01A1, 1R01MH091102-01A1]; National Science Foundation [0967170]; Vanderbilt Kennedy Center through the Hobbs Society Grant</t>
  </si>
  <si>
    <t>National Institute of Health(United States Department of Health &amp; Human ServicesNational Institutes of Health (NIH) - USA); National Science Foundation(National Science Foundation (NSF)); Vanderbilt Kennedy Center through the Hobbs Society Grant</t>
  </si>
  <si>
    <t>This work was supported in part by the National Institute of Health Grant 1R21AG050483-01A1 and Grant 1R01MH091102-01A1, in part by the National Science Foundation under Grant 0967170, and in part by the Vanderbilt Kennedy Center through the Hobbs Society Grant.</t>
  </si>
  <si>
    <t>0018-9294</t>
  </si>
  <si>
    <t>1558-2531</t>
  </si>
  <si>
    <t>IEEE T BIO-MED ENG</t>
  </si>
  <si>
    <t>IEEE Trans. Biomed. Eng.</t>
  </si>
  <si>
    <t>10.1109/TBME.2017.2693157</t>
  </si>
  <si>
    <t>Engineering, Biomedical</t>
  </si>
  <si>
    <t>Engineering</t>
  </si>
  <si>
    <t>FR0AA</t>
  </si>
  <si>
    <t>WOS:000418722000006</t>
  </si>
  <si>
    <t>Wass, SV; Porayska-Pomsta, K</t>
  </si>
  <si>
    <t>Wass, Sam V.; Porayska-Pomsta, Kaska</t>
  </si>
  <si>
    <t>The uses of cognitive training technologies in the treatment of autism spectrum disorders</t>
  </si>
  <si>
    <t>autism; technology-enhanced behavioural interventions</t>
  </si>
  <si>
    <t>HIGH-FUNCTIONING AUTISM; ASPERGER-SYNDROME; VIRTUAL-REALITY; LANGUAGE IMPAIRMENT; ATTENTIONAL CONTROL; FACE RECOGNITION; GAZE AVERSION; CHILDREN; PROGRAM; INTERVENTION</t>
  </si>
  <si>
    <t>In this review, we focus on research that has used technology to provide cognitive training - i.e. to improve performance on some measurable aspect of behaviour - in individuals with autism spectrum disorders. We review technology-enhanced interventions that target three different cognitive domains: (a) emotion and face recognition, (b) language and literacy, and (c) social skills. The interventions reviewed allow for interaction through different modes, including point-and-click and eye-gaze contingent software, and are delivered through diverse implementations, including virtual reality and robotics. In each case, we examine the evidence of the degree of post-training improvement observed following the intervention, including evidence of transfer to altered behaviour in ecologically valid contexts. We conclude that a number of technological interventions have found that observed improvements within the computerised training paradigm fail to generalise to altered behaviour in more naturalistic settings, which may result from problems that people with autism spectrum disorders experience in generalising and extrapolating knowledge. However, we also point to several promising findings in this area. We discuss possible directions for future work.</t>
  </si>
  <si>
    <t>[Wass, Sam V.] MRC, Cognit &amp; Brain Sci Unit, Cambridge CB2 7EF, England; [Porayska-Pomsta, Kaska] London Knowledge Lab, Inst Educ, London, England</t>
  </si>
  <si>
    <t>University of London; University College London</t>
  </si>
  <si>
    <t>Wass, SV (corresponding author), MRC, Cognit &amp; Brain Sci Unit, 15 Chaucer Rd, Cambridge CB2 7EF, England.</t>
  </si>
  <si>
    <t>sam.wass@mrc-cbu.cam.ac.uk</t>
  </si>
  <si>
    <t>Wass, Sam/0000-0002-7421-3493</t>
  </si>
  <si>
    <t>MRC [MC_UP_A060_1104, G0701484] Funding Source: UKRI; Medical Research Council [G0701484, MC_UP_A060_1104] Funding Source: Medline</t>
  </si>
  <si>
    <t>MRC(UK Research &amp; Innovation (UKRI)Medical Research Council UK (MRC)); Medical Research Council(UK Research &amp; Innovation (UKRI)Medical Research Council UK (MRC))</t>
  </si>
  <si>
    <t>10.1177/1362361313499827</t>
  </si>
  <si>
    <t>AR9PF</t>
  </si>
  <si>
    <t>WOS:000343906200001</t>
  </si>
  <si>
    <t>Dechsling, A; Orm, S; Kalandadze, T; Sutterlin, S; Oien, RA; Shic, F; Nordahl-Hansen, A</t>
  </si>
  <si>
    <t>Dechsling, Anders; Orm, Stian; Kalandadze, Tamara; Sutterlin, Stefan; oien, Roald A.; Shic, Frederick; Nordahl-Hansen, Anders</t>
  </si>
  <si>
    <t>Virtual and Augmented Reality in Social Skills Interventions for Individuals with Autism Spectrum Disorder: A Scoping Review</t>
  </si>
  <si>
    <t>Autism spectrum disorder; Virtual reality; Augmented reality; Social skills</t>
  </si>
  <si>
    <t>LEARNING-ENVIRONMENT; COMMUNICATION-SKILLS; EMOTIONAL SKILLS; YOUNG-ADULTS; CHILDREN; COGNITION; IMPROVE; SYSTEM; ADOLESCENTS; STUDENTS</t>
  </si>
  <si>
    <t>In the last decade, there has been an increase in publications on technology-based interventions for autism spectrum disorder (ASD). Virtual reality based assessments and intervention tools are promising and have shown to be acceptable amongst individuals with ASD. This scoping review reports on 49 studies utilizing virtual reality and augmented reality technology in social skills interventions for individuals with ASD. The included studies mostly targeted children and adolescents, but few targeted very young children or adults. Our findings show that the mode number of participants with ASD is low, and that female participants are underrepresented. Our review suggests that there is need for studies that apply virtual and augmented realty with more rigorous designs involving established and evidenced-based intervention strategies.</t>
  </si>
  <si>
    <t>[Dechsling, Anders; Kalandadze, Tamara; Nordahl-Hansen, Anders] Ostfold Univ Coll, Fac Teacher Educ &amp; Languages, BRA Veien 4, N-1757 Halden, Norway; [Orm, Stian] Western Norway Univ Appl Sci, Dept Welf &amp; Participat, Bergen, Norway; [Sutterlin, Stefan] Albstadt Sigmaringen Univ, Fac Comp Sci, Sigmaringen, Germany; [Sutterlin, Stefan] Ostfold Univ Coll, Fac Hlth Welf &amp; Org, Halden, Norway; [oien, Roald A.] Univ Tromso, Arctic Univ Norway, Dept Educ, Tromso, Norway; [oien, Roald A.] Yale Univ, Sch Med, Ctr Child Study, New Haven, CT 06510 USA; [Shic, Frederick] Seattle Childrens Res Inst, Ctr Child Hlth Behav &amp; Dev, Seattle, WA USA; [Shic, Frederick] Univ Washington, Sch Med, Dept Pediat, Seattle, WA 98195 USA</t>
  </si>
  <si>
    <t>Ostfold University College; Western Norway University of Applied Sciences; Ostfold University College; UiT The Arctic University of Tromso; Yale University; Seattle Children's Hospital; University of Washington; University of Washington Seattle</t>
  </si>
  <si>
    <t>Dechsling, A (corresponding author), Ostfold Univ Coll, Fac Teacher Educ &amp; Languages, BRA Veien 4, N-1757 Halden, Norway.</t>
  </si>
  <si>
    <t>anders.dechsling@hiof.no</t>
  </si>
  <si>
    <t>Shic, Frederick/AAE-9828-2020; Øien, Roald/AAG-4078-2020; Sütterlin, Susanne/ABA-1686-2021; Kalandadze, Tamara/AIE-4655-2022; Nordahl-Hansen, Anders/H-8315-2019; Orm, Stian/ABC-1736-2021</t>
  </si>
  <si>
    <t>Dechsling, Anders/0000-0002-4839-8703; Nordahl-Hansen, Anders/0000-0002-6411-3122; Orm, Stian/0000-0002-4932-8264</t>
  </si>
  <si>
    <t>Ostfold University College</t>
  </si>
  <si>
    <t>Open Access funding provided by Ostfold University College. No funding was received for conducting this study. The authors have no conflicts of interest to declare that are relevant to the content of this article.</t>
  </si>
  <si>
    <t>10.1007/s10803-021-05338-5</t>
  </si>
  <si>
    <t>NOV 2021</t>
  </si>
  <si>
    <t>5F7UT</t>
  </si>
  <si>
    <t>hybrid, Green Published</t>
  </si>
  <si>
    <t>WOS:000719158600002</t>
  </si>
  <si>
    <t>Wiebe, A; Kannen, K; Selaskowski, B; Mehren, A; Thöne, AK; Pramme, L; Blumenthal, N; Li, MT; Asché, L; Jonas, S; Jonas, S; Bey, K; Schulze, M; Steffens, M; Pensel, MC; Guth, M; Rohlfsen, F; Ekhlas, M; Lügering, H; Fileccia, H; Pakos, J; Lux, S; Philipsen, A; Braun, N</t>
  </si>
  <si>
    <t>Wiebe, Annika; Kannen, Kyra; Selaskowski, Benjamin; Mehren, Aylin; Thoene, Ann-Kathrin; Pramme, Lisa; Blumenthal, Nike; Li, Mengtong; Asche, Laura; Jonas, Stephan; Jonas, Stephan; Bey, Katharina; Schulze, Marcel; Steffens, Maria; Pensel, Max Christian; Guth, Matthias; Rohlfsen, Felicia; Ekhlas, Mogda; Luegering, Helena; Fileccia, Helena; Pakos, Julian; Lux, Silke; Philipsen, Alexandra; Braun, Niclas</t>
  </si>
  <si>
    <t>Virtual reality in the diagnostic and therapy for mental disorders: A systematic review</t>
  </si>
  <si>
    <t>CLINICAL PSYCHOLOGY REVIEW</t>
  </si>
  <si>
    <t>Virtual reality; VR; Assessment; Diagnostics; Therapy; Mental disorders</t>
  </si>
  <si>
    <t>POSTTRAUMATIC-STRESS-DISORDER; COGNITIVE-BEHAVIORAL THERAPY; AUTISM SPECTRUM DISORDER; SOCIAL ANXIETY DISORDER; BODY-IMAGE DISTURBANCES; OBSESSIVE-COMPULSIVE DISORDER; SIMULATOR DRIVING PERFORMANCE; RANDOMIZED CLINICAL-TRIAL; CUE REACTIVITY ASSESSMENT; BINGE-EATING DISORDER</t>
  </si>
  <si>
    <t>Background: Virtual reality (VR) technologies are playing an increasingly important role in the diagnostics and treatment of mental disorders. Objective: To systematically review the current evidence regarding the use of VR in the diagnostics and treatment of mental disorders. Data source: Systematic literature searches via PubMed (last literature update: 9th of May 2022) were conducted for the following areas of psychopathology: Specific phobias, panic disorder and agoraphobia, social anxiety disorder, generalized anxiety disorder, posttraumatic stress disorder (PTSD), obsessive-compulsive disorder, eating disorders, dementia disorders, attention-deficit/hyperactivity disorder, depression, autism spectrum disorder, schizophrenia spectrum disorders, and addiction disorders. Eligibility criteria: To be eligible, studies had to be published in English, to be peer-reviewed, to report original research data, to be VR-related, and to deal with one of the above-mentioned areas of psychopathology. Study evaluation: For each study included, various study characteristics (including interventions and conditions, comparators, major outcomes and study designs) were retrieved and a risk of bias score was calculated based on predefined study quality criteria. Results: Across all areas of psychopathology, k = 9315 studies were inspected, of which k = 721 studies met the eligibility criteria. From these studies, 43.97% were considered assessment-related, 55.48% therapy-related, and 0.55% were mixed. The highest research activity was found for VR exposure therapy in anxiety disorders, PTSD and addiction disorders, where the most convincing evidence was found, as well as for cognitive trainings in dementia and social skill trainings in autism spectrum disorder. Conclusion: While VR exposure therapy will likely find its way successively into regular patient care, there are also many other promising approaches, but most are not yet mature enough for clinical application. Review registration: PROSPERO register CRD42020188436. Funding: The review was funded by budgets from the University of Bonn. No third party funding was involved.</t>
  </si>
  <si>
    <t>[Wiebe, Annika; Kannen, Kyra; Selaskowski, Benjamin; Mehren, Aylin; Pramme, Lisa; Blumenthal, Nike; Li, Mengtong; Asche, Laura; Bey, Katharina; Schulze, Marcel; Steffens, Maria; Pensel, Max Christian; Guth, Matthias; Rohlfsen, Felicia; Ekhlas, Mogda; Luegering, Helena; Fileccia, Helena; Pakos, Julian; Lux, Silke; Philipsen, Alexandra; Braun, Niclas] Univ Hosp Bonn, Dept Psychiat &amp; Psychotherapy, Bonn, Germany; [Thoene, Ann-Kathrin] Univ Cologne, Sch Child &amp; Adolescent Cognit Behav Therapy AKiP, Fac Med, Cologne, Germany; [Thoene, Ann-Kathrin] Univ Cologne, Univ Hosp Cologne, Cologne, Germany; [Jonas, Stephan] Univ Hosp Bonn, Inst Digital Med, Bonn, Germany</t>
  </si>
  <si>
    <t>University of Bonn; University of Cologne; University of Cologne; University of Bonn</t>
  </si>
  <si>
    <t>Braun, N (corresponding author), Univ Hosp Bonn, Venusberg Campus 1, D-53127 Bonn, Germany.</t>
  </si>
  <si>
    <t>niclas.braun@ukbonn.de</t>
  </si>
  <si>
    <t>Li, Mengtong/AAA-7084-2022; Mehren, Aylin/ABB-4278-2020; Bey, Katharina/AAR-7857-2021; Braun, Niclas/ITT-1944-2023; Selaskowski, Benjamin/KIC-0837-2024; Jonas, Stephan/AEN-4033-2022; Jonas, Stephan/J-1443-2017</t>
  </si>
  <si>
    <t>Pakos, Julian/0000-0002-2354-0312; Selaskowski, Benjamin/0000-0002-4117-8265; Mehren, Aylin/0000-0001-9443-9281; Jonas, Stephan/0000-0002-3687-6165; Lugering, Helena/0000-0002-9212-710X; Braun, Niclas/0000-0001-9392-1244; Li, Mengtong/0000-0002-3187-6115; Asche, Laura/0000-0003-1225-7527; Kannen, Kyra/0000-0002-1524-6906</t>
  </si>
  <si>
    <t>University of Bonn; Open Access Publication Fund of the University of Bonn</t>
  </si>
  <si>
    <t>The manuscript was funded by budgets from the University of Bonn. No third party funding was involved. This work was supported by the Open Access Publication Fund of the University of Bonn.</t>
  </si>
  <si>
    <t>0272-7358</t>
  </si>
  <si>
    <t>1873-7811</t>
  </si>
  <si>
    <t>CLIN PSYCHOL REV</t>
  </si>
  <si>
    <t>Clin. Psychol. Rev.</t>
  </si>
  <si>
    <t>10.1016/j.cpr.2022.102213</t>
  </si>
  <si>
    <t>Psychology, Clinical</t>
  </si>
  <si>
    <t>CS6G2</t>
  </si>
  <si>
    <t>WOS:001127263000003</t>
  </si>
  <si>
    <t>Berenguer, C; Baixauli, I; Gómez, S; Andrés, MD; De Stasio, S</t>
  </si>
  <si>
    <t>Berenguer, Carmen; Baixauli, Inmaculada; Gomez, Soledad; de El Puig Andres, Maria; De Stasio, Simona</t>
  </si>
  <si>
    <t>Exploring the Impact of Augmented Reality in Children and Adolescents with Autism Spectrum Disorder: A Systematic Review</t>
  </si>
  <si>
    <t>autism; augmented reality; children; adolescents; outcomes; technology</t>
  </si>
  <si>
    <t>SOCIAL-SKILLS; IMPROVE; HELP</t>
  </si>
  <si>
    <t>Autistic Spectrum Disorder (ASD) is a neurodevelopmental condition characterized by persistent difficulties in communication and social interaction along with a restriction in interests and the presence of repetitive behaviors. The development and use of augmented reality technology for autism has increased in recent years. However, little is known about the impact of these virtual reality technologies on clinical health symptoms. The aim of this systematic review was to investigate the impact of augmented reality through social, cognitive, and behavioral domains in children and adolescents with autism. This study is the first contribution that has carried out an evidence-based systematic review including relevant science databases about the effectiveness of augmented reality-based intervention in ASD. The initial search identified a total of 387 records. After the exclusion of papers that are not research studies and are duplicated articles and after screening the abstract and full text, 20 articles were selected for analysis. The studies examined suggest promising findings about the effectiveness of augmented reality-based treatments for the promotion, support, and protection of health and wellbeing in children and adolescents with autism. Finally, possible directions for future work are discussed.</t>
  </si>
  <si>
    <t>[Berenguer, Carmen] Univ Valencia, Dept Dev &amp; Educ Psychol, Avda Blasco Ibanez 21, Valencia 46010, Spain; [Baixauli, Inmaculada; Gomez, Soledad; de El Puig Andres, Maria] Catholic Univ Valencia, Campus Capacitas, Valencia 46010, Spain; [De Stasio, Simona] LUMSA Univ, Dept Human Studies, I-00193 Rome, Italy</t>
  </si>
  <si>
    <t>University of Valencia; Universidad Catolica de Valencia San Vicente Martir; Universita LUMSA</t>
  </si>
  <si>
    <t>Gómez, S (corresponding author), Catholic Univ Valencia, Campus Capacitas, Valencia 46010, Spain.</t>
  </si>
  <si>
    <t>carmen.berenguer@uv.es; inmaculada.baixauli@ucv.es; soledad.gomez@ucv.es; mpuig.andres@ucv.es; s.destasio@lumsa.it</t>
  </si>
  <si>
    <t>Fortea, Inmaculada/H-6476-2015; Berenguer, Carmen/H-2679-2015</t>
  </si>
  <si>
    <t>DE STASIO, Simona/0000-0001-6300-5990; /0000-0001-5731-3962; Gomez Garcia, Soledad/0000-0002-0181-8678</t>
  </si>
  <si>
    <t>10.3390/ijerph17176143</t>
  </si>
  <si>
    <t>NO8FH</t>
  </si>
  <si>
    <t>WOS:000569722900001</t>
  </si>
  <si>
    <t>Newbutt, N; Bradley, R; Conley, I</t>
  </si>
  <si>
    <t>Newbutt, Nigel; Bradley, Ryan; Conley, Iian</t>
  </si>
  <si>
    <t>Using Virtual Reality Head-Mounted Displays in Schools with Autistic Children: Views, Experiences, and Future Directions</t>
  </si>
  <si>
    <t>CYBERPSYCHOLOGY BEHAVIOR AND SOCIAL NETWORKING</t>
  </si>
  <si>
    <t>autism; virtual reality; head-mounted display; education; classrooms</t>
  </si>
  <si>
    <t>This article seeks to place children on the autism spectrum at the center of a study examining the potential of virtual reality (VR) head-mounted displays (HMDs) used in classrooms. In doing so, we provide data that address 3 important and often overlooked research questions in the field of autism and technology, working in school-based settings with 31 autistic children from 6 to 16 years of age. First, what type of VR HMD device (and experiences therein) are preferred by children on the autism spectrum using HMDs (given possible sensory concerns). Second, how do children on the autism spectrum report the physical experience, enjoyment, and potential of VR HMDs in their classrooms? Finally, we were interested in exploring what children on the autism spectrum would like to use VR in schools for? Through a mixed methods approach, we found that costly and technologically advanced HMDs were preferred (namely: HTC Vive). In addition, HMDs were reported as being enjoyable, physically and visually comfortable, easy to use, and exciting, and children wanted to use them again. They identified several potential usages for HMDs, including relaxing/feeling calm, being able to explore somewhere virtually before visiting in the real world, and to develop learning opportunities in school. We discuss these findings in the context of VR in classrooms, in addition to considering limitations and implication of our findings.</t>
  </si>
  <si>
    <t>[Newbutt, Nigel; Bradley, Ryan; Conley, Iian] Univ West England, Dept Educ &amp; Childhood, Coldharbour Lane,Frenchay Campus, Bristol BS16 1QY, Avon, England</t>
  </si>
  <si>
    <t>University of West England</t>
  </si>
  <si>
    <t>Newbutt, N (corresponding author), Univ West England, Dept Educ &amp; Childhood, Coldharbour Lane,Frenchay Campus, Bristol BS16 1QY, Avon, England.</t>
  </si>
  <si>
    <t>2152-2715</t>
  </si>
  <si>
    <t>2152-2723</t>
  </si>
  <si>
    <t>CYBERPSYCH BEH SOC N</t>
  </si>
  <si>
    <t>Cyberpsychology Behav. Soc. Netw.</t>
  </si>
  <si>
    <t>JAN 1</t>
  </si>
  <si>
    <t>10.1089/cyber.2019.0206</t>
  </si>
  <si>
    <t>SEP 2019</t>
  </si>
  <si>
    <t>Psychology, Social</t>
  </si>
  <si>
    <t>KF5PY</t>
  </si>
  <si>
    <t>WOS:000486097400001</t>
  </si>
  <si>
    <t>Lorenzo, G; Lledó, A; Arráez-Vera, G; Lorenzo-Lledó, A</t>
  </si>
  <si>
    <t>Lorenzo, Gonzalo; Lledo, Asuncion; Arraez-Vera, Graciela; Lorenzo-Lledo, Alejandro</t>
  </si>
  <si>
    <t>The application of immersive virtual reality for students with ASD: A review between 1990-2017</t>
  </si>
  <si>
    <t>Immersive virtual reality; ASD; Review; Technologies; Intervention</t>
  </si>
  <si>
    <t>SOCIAL-SKILLS; AUTISM; CHILDREN; SPECTRUM; ENVIRONMENTS; ADOLESCENTS; TECHNOLOGY; SYSTEM; MEDIA; SENSE</t>
  </si>
  <si>
    <t>We live in a society where Technology has an important position in our diary activities. Everybody wants to have the last device to be in contact with his family and friends. Additionally, these took are being applied in other fields such as Education. One of these tools is: Virtual reality that can respond the need of our students. It allows the designer an important control of the system that can be useful for students with Autism Spectrum Disorder. These students can use Virtual Reality as a support to practice social situation that can be generalized in real environments. Therefore, our research provides a state-of-the-art review of what studies have applied Immersive Virtual Reality to students with Autism Spectrum Disorder. The sample of study has been 12 papers in the period 1996-2017. To analyse these research, it has been proposed these variables: participants' features, research questions, instrument, type of activities, results, and limitations. These study variables have been chosen because they are the most repeated in all research using the experimental method. According to the results gathered: it has been worked with small sample, without control group and interactive activities. Moreover, the vast majority of the studies are focused on social skills.</t>
  </si>
  <si>
    <t>[Lorenzo, Gonzalo; Lledo, Asuncion; Arraez-Vera, Graciela] Univ Alicante, Dept Dev Psychol &amp; Teaching, Carretera San Vicente del Raspeig S-N, Alicante 03690, Spain; [Lorenzo-Lledo, Alejandro] Univ Alicante, Dept Gen &amp; Specif Didact, Alicante, Spain</t>
  </si>
  <si>
    <t>glledo@ua.es; asuncion.lledo@gcloud.ua.es; graciela.arraez@ua.es; alejandro.lorenzo@ua.es</t>
  </si>
  <si>
    <t>Lorenzo, Gonzalo/L-8243-2017; Arraez, Graciela/JDN-1640-2023; Lorenzo-Lledó, Alejandro/AAV-3674-2020; Lorenzo-Lledo, Alejandro/L-9953-2017</t>
  </si>
  <si>
    <t>Lorenzo, Gonzalo/0000-0002-1997-6260; Lorenzo-Lledo, Alejandro/0000-0002-0224-5824; Lledo Carreres, Asuncion/0000-0001-6719-467X</t>
  </si>
  <si>
    <t>10.1007/s10639-018-9766-7</t>
  </si>
  <si>
    <t>HK8OY</t>
  </si>
  <si>
    <t>WOS:000458250700007</t>
  </si>
  <si>
    <t>Trepagnier, C; Sebrechts, MM; Peterson, R</t>
  </si>
  <si>
    <t>Atypical face gaze in autism</t>
  </si>
  <si>
    <t>10th Annual Medicine Meets Virtual Reality Conference</t>
  </si>
  <si>
    <t>JAN 23, 2002</t>
  </si>
  <si>
    <t>NEWPORT BEACH, CALIFORNIA</t>
  </si>
  <si>
    <t>ASPERGER-SYNDROME; CHILDREN; INDIVIDUALS; DISORDERS; ADULTS; MIND</t>
  </si>
  <si>
    <t>An eye-tracking study of face and object recognition was conducted to clarify the character of face gaze in autistic spectrum disorders. Experimental participants were a group of individuals diagnosed with Asperger's disorder or high-functioning autistic disorder according to their medical records and confirmed by the Autism Diagnostic Interview-Revised (ADI-R). Controls were selected on the basis of age, gender, and educational level to be comparable to the experimental group. In order to maintain attentional focus, stereoscopic images were presented in a virtual reality (VR) headset in which the eye-tracking system was installed. Preliminary analyses show impairment in face recognition, in contrast with equivalent and even superior performance in object recognition among participants with autism-related diagnoses, relative to controls. Experimental participants displayed less fixation on the central face than did control-group participants. The findings, within the limitations of the small number of subjects and technical difficulties encountered in utilizing the helmet-mounted display, suggest an impairment in face processing on the part of the individuals in the experimental group. This is consistent with the hypothesis of disruption in the first months of life, a period that may be critical to typical social and cognitive development, and has important implications for selection of appropriate targets of intervention.</t>
  </si>
  <si>
    <t>Catholic Univ Amer, Dept Psychol, Washington, DC 20064 USA</t>
  </si>
  <si>
    <t>Catholic University of America</t>
  </si>
  <si>
    <t>Trepagnier, C (corresponding author), Natl Rehabil Hosp, Rehabil Engn Serv, 102 Irving St NW, Washington, DC 20010 USA.</t>
  </si>
  <si>
    <t>MARY ANN LIEBERT INC PUBL</t>
  </si>
  <si>
    <t>LARCHMONT</t>
  </si>
  <si>
    <t>2 MADISON AVENUE, LARCHMONT, NY 10538 USA</t>
  </si>
  <si>
    <t>10.1089/109493102760147204</t>
  </si>
  <si>
    <t>Conference Proceedings Citation Index - Social Science &amp; Humanities (CPCI-SSH); Social Science Citation Index (SSCI)</t>
  </si>
  <si>
    <t>568QT</t>
  </si>
  <si>
    <t>WOS:000176554400007</t>
  </si>
  <si>
    <t>Maskey, M; Rodgers, J; Grahame, V; Glod, M; Honey, E; Kinnear, J; Labus, M; Milne, J; Minos, D; McConachie, H; Parr, JR</t>
  </si>
  <si>
    <t>Maskey, Morag; Rodgers, Jacqui; Grahame, Victoria; Glod, Magdalena; Honey, Emma; Kinnear, Julia; Labus, Marie; Milne, Jenny; Minos, Dimitrios; McConachie, Helen; Parr, Jeremy R.</t>
  </si>
  <si>
    <t>A Randomised Controlled Feasibility Trial of Immersive Virtual Reality Treatment with Cognitive Behaviour Therapy for Specific Phobias in Young People with Autism Spectrum Disorder</t>
  </si>
  <si>
    <t>Autism; Anxiety; Phobia; Fear; Virtual reality; Cognitive behaviour therapy</t>
  </si>
  <si>
    <t>FEAR SURVEY SCHEDULE; PSYCHIATRIC-DISORDERS; CHILDREN; ANXIETY; ADOLESCENTS; PREVALENCE; DEPRESSION; SYMPTOMS; VALIDITY; ADULTS</t>
  </si>
  <si>
    <t>We examined the feasibility and acceptability of using an immersive virtual reality environment (VRE) alongside cognitive behaviour therapy (CBT) for young people with autism experiencing specific phobia. Thirty-two participants were randomised to treatment or control. Treatment involved one session introducing CBT techniques and four VRE sessions, delivered by local clinical therapists. Change in target behaviour was independently rated. Two weeks after treatment, four treatment participants (25%) and no control participants were responders; at 6months after treatment, six (38%) treatment and no control participants were responders. At 6months post-treatment, symptoms had worsened for one treatment and five control (untreated) participants. Brief VRE exposure with CBT is feasible and acceptable to deliver through child clinical services and is effective for some participants.</t>
  </si>
  <si>
    <t>[Maskey, Morag; Rodgers, Jacqui; Glod, Magdalena; Parr, Jeremy R.] Newcastle Univ, Royal Victoria Infirm, Sir James Spence Inst, Inst Neurosci, Level 3, Newcastle Upon Tyne NE1 4LP, Tyne &amp; Wear, England; [Grahame, Victoria; Honey, Emma; Parr, Jeremy R.] Northumberland Tyne &amp; Wear NHS Fdn Trust, Complex Neurodev Disorders Serv, Newcastle Upon Tyne, Tyne &amp; Wear, England; [Kinnear, Julia] Newcastle Univ, Newcastle Upon Tyne, Tyne &amp; Wear, England; [Labus, Marie] Newcastle Univ, Fac Med Sci, Business Dev &amp; Enterprise, Newcastle Upon Tyne, Tyne &amp; Wear, England; [Milne, Jenny] Tees Esk &amp; Wear Valley NHS Fdn Trust, Darlington, Durham, England; [Grahame, Victoria; Minos, Dimitrios; McConachie, Helen] Newcastle Univ, Inst Hlth &amp; Soc, Newcastle Upon Tyne, Tyne &amp; Wear, England</t>
  </si>
  <si>
    <t>Newcastle University - UK; Newcastle University - UK; Newcastle University - UK; Newcastle University - UK</t>
  </si>
  <si>
    <t>Parr, JR (corresponding author), Newcastle Univ, Royal Victoria Infirm, Sir James Spence Inst, Inst Neurosci, Level 3, Newcastle Upon Tyne NE1 4LP, Tyne &amp; Wear, England.;Parr, JR (corresponding author), Northumberland Tyne &amp; Wear NHS Fdn Trust, Complex Neurodev Disorders Serv, Newcastle Upon Tyne, Tyne &amp; Wear, England.</t>
  </si>
  <si>
    <t>jeremy.parr@ncl.ac.uk</t>
  </si>
  <si>
    <t>milne, Jenny/IZQ-0878-2023</t>
  </si>
  <si>
    <t>Grahame, Victoria/0000-0003-4541-7574; Labus, Marie/0000-0002-8339-7423; Maskey, Morag/0000-0003-4100-2515; Honey, Emma/0000-0001-7016-9096; Minos, Dimitrios/0000-0001-5920-5930; Parr, Jeremy/0000-0002-2507-7878</t>
  </si>
  <si>
    <t>National Institute for Health Research (NIHR) under its Research for Patient Benefit (RfPB) Programme [PB-PG-0213-30067]; National Institutes of Health Research (NIHR) [PB-PG-0213-30067] Funding Source: National Institutes of Health Research (NIHR)</t>
  </si>
  <si>
    <t>National Institute for Health Research (NIHR) under its Research for Patient Benefit (RfPB) Programme(National Institutes of Health Research (NIHR)); National Institutes of Health Research (NIHR)(National Institutes of Health Research (NIHR))</t>
  </si>
  <si>
    <t>This paper presents independent research funded by the National Institute for Health Research (NIHR) under its Research for Patient Benefit (RfPB) Programme (Grant reference number PB-PG-0213-30067). The views expressed are those of the authors and not necessarily those of the NHS, the NIHR or the Department of Health and Social Care.</t>
  </si>
  <si>
    <t>10.1007/s10803-018-3861-x</t>
  </si>
  <si>
    <t>HV5CF</t>
  </si>
  <si>
    <t>Green Published, hybrid</t>
  </si>
  <si>
    <t>WOS:000466001300013</t>
  </si>
  <si>
    <t>Lahiri, U; Warren, Z; Sarkar, N</t>
  </si>
  <si>
    <t>Lahiri, Uttama; Warren, Zachary; Sarkar, Nilanjan</t>
  </si>
  <si>
    <t>Design of a Gaze-Sensitive Virtual Social Interactive System for Children With Autism</t>
  </si>
  <si>
    <t>Autism spectrum disorder (ASD); blink rate; eye-tracking; fixation duration; pupil diameter; virtual reality (VR)</t>
  </si>
  <si>
    <t>YOUNG-CHILDREN; SPECTRUM; ENGAGEMENT; PUPILLARY; DEFICITS; STIMULI; PEOPLE; SKILLS; EYE</t>
  </si>
  <si>
    <t>Impairments in social communication skills are thought to be core deficits in children with autism spectrum disorder (ASD). In recent years, several assistive technologies, particularly Virtual Reality (VR), have been investigated to promote social interactions in this population. It is well known that children with ASD demonstrate atypical viewing patterns during social interactions and thus monitoring eye-gaze can be valuable to design intervention strategies. While several studies have used eye-tracking technology to monitor eye-gaze for offline analysis, there exists no real-time system that can monitor eye-gaze dynamically and provide individualized feedback. Given the promise of VR-based social interaction and the usefulness of monitoring eye-gaze in real-time, a novel VR-based dynamic eye-tracking system is developed in this work. This system, called Virtual Interactive system with Gaze-sensitive Adaptive Response Technology (VIGART), is capable of delivering individualized feedback based on a child's dynamic gaze patterns during VR-based interaction. Results from a usability study with six adolescents with ASD are presented that examines the acceptability and usefulness of VIGART. The results in terms of improvement in behavioral viewing and changes in relevant eye physiological indexes of participants while interacting with VIGART indicate the potential of this novel technology.</t>
  </si>
  <si>
    <t>[Lahiri, Uttama; Sarkar, Nilanjan] Vanderbilt Univ, Dept Mech Engn, Nashville, TN 37212 USA; [Warren, Zachary] Vanderbilt Univ, Dept Psychiat, Nashville, TN 37212 USA</t>
  </si>
  <si>
    <t>Vanderbilt University; Vanderbilt University</t>
  </si>
  <si>
    <t>Lahiri, U (corresponding author), Vanderbilt Univ, Dept Mech Engn, Nashville, TN 37212 USA.</t>
  </si>
  <si>
    <t>uttama.lahiri@van-derbilt.edu; zachary.e.warren@vanderbilt.edu; nilanjan.sarkar@vanderbilt.edu</t>
  </si>
  <si>
    <t>National Science Foundation [0967170]; National Institutes of Health [1R01MH091102-01A1]; Directorate For Engineering; Div Of Chem, Bioeng, Env, &amp; Transp Sys [0967170] Funding Source: National Science Foundation</t>
  </si>
  <si>
    <t>National Science Foundation(National Science Foundation (NSF)); National Institutes of Health(United States Department of Health &amp; Human ServicesNational Institutes of Health (NIH) - USA); Directorate For Engineering; Div Of Chem, Bioeng, Env, &amp; Transp Sys(National Science Foundation (NSF)NSF - Directorate for Engineering (ENG))</t>
  </si>
  <si>
    <t>This work was supported in part by the National Science Foundation under Grant 0967170 and in part by the National Institutes of Health under Grant 1R01MH091102-01A1.</t>
  </si>
  <si>
    <t>10.1109/TNSRE.2011.2153874</t>
  </si>
  <si>
    <t>805UP</t>
  </si>
  <si>
    <t>WOS:000293754800013</t>
  </si>
  <si>
    <t>Zhao, H; Swanson, AR; Weitlauf, AS; Warren, ZE; Sarkar, N</t>
  </si>
  <si>
    <t>Zhao, Huan; Swanson, Amy R.; Weitlauf, Amy S.; Warren, Zachary E.; Sarkar, Nilanjan</t>
  </si>
  <si>
    <t>Hand-in-Hand: A Communication-Enhancement Collaborative Virtual Reality System for Promoting Social Interaction in Children With Autism Spectrum Disorders</t>
  </si>
  <si>
    <t>IEEE TRANSACTIONS ON HUMAN-MACHINE SYSTEMS</t>
  </si>
  <si>
    <t>Autism intervention; collaborative virtual reality (VR) system; communication and social interaction</t>
  </si>
  <si>
    <t>COMPUTER-ASSISTED-INSTRUCTION; HIGH-FUNCTIONING CHILDREN; COMPETENCE INTERVENTION; LEARNING-ENVIRONMENT; ADOLESCENTS; LONELINESS; PREVALENCE; FRIENDSHIP; STUDENTS; ADULTS</t>
  </si>
  <si>
    <t>Children with autism spectrum disorders (ASD) often exhibit impairments in communication and social interaction, and thus face various social challenges in collaborative activities. Given the cost of ASD intervention and lack of access to trained clinicians, technology-assisted ASD intervention has gained momentum in recent years. In this paper, we present a novel collaborative virtual environment (CVE)-based social interaction platform for ASD intervention. The development of CVE technology for ASD intervention may lead to the creation of a novel low-cost intervention environment that will foster collaboration with peers and provide flexibility in communication. The presented Communication-Enhancement CVE system, hand-in-hand, allows two children to play a series of interactive games in a virtual reality environment by using simple hand gestures to collaboratively move virtual objects that are tracked in real time via cameras. Furthermore, these games are designed to promote natural communication and cooperation between the users via the presented Communication-Enhancement mode that allows users to share information and discuss game strategies using gaze and voice-based communication. The results of a feasibility study with 12 children with ASD and 12 typically developing peers show that this system was well accepted by both the children with and without ASD, improved their cooperation in game play, and demonstrated the potential for fostering their communication and collaboration skills.</t>
  </si>
  <si>
    <t>[Zhao, Huan] Vanderbilt Univ, Dept Elect Engn &amp; Comp Sci, Nashville, TN 37212 USA; [Swanson, Amy R.; Weitlauf, Amy S.; Warren, Zachary E.] Vanderbilt Kennedy Ctr, Treatment &amp; Res Inst Autism Spectrum Disorders, Nashville, TN 37203 USA; [Sarkar, Nilanjan] Vanderbilt Univ, Dept Mech Engn, Nashville, TN 37212 USA</t>
  </si>
  <si>
    <t>Vanderbilt University; Vanderbilt University; Vanderbilt University</t>
  </si>
  <si>
    <t>Zhao, H (corresponding author), Vanderbilt Univ, Dept Elect Engn &amp; Comp Sci, Nashville, TN 37212 USA.</t>
  </si>
  <si>
    <t>huan.zhao@vanderbilt.edu; amy.r.swanson@vanderbilt.edu; amy.s.weitlauf@vanderbilt.edu; zachary.e.warren@vanderbilt.edu; nilanjan.sarkar@vanderbilt.edu</t>
  </si>
  <si>
    <t>Weitlauf, Amy/AID-0725-2022; Zhao, Huan/IXD-9857-2023; Warren, Zachary/KWU-8831-2024</t>
  </si>
  <si>
    <t>Warren, Zachary/0000-0001-9677-9386; Weitlauf, Amy/0000-0002-3904-6378</t>
  </si>
  <si>
    <t>National Institutes of Health [1R01MH091102-01A1, 1R21MH111548-01]</t>
  </si>
  <si>
    <t>National Institutes of Health(United States Department of Health &amp; Human ServicesNational Institutes of Health (NIH) - USA)</t>
  </si>
  <si>
    <t>This work was supported by the National Institutes of Health under Grant 1R01MH091102-01A1 and Grant 1R21MH111548-01. This paper was recommended by Associate Editor Jenna Marquard.</t>
  </si>
  <si>
    <t>2168-2291</t>
  </si>
  <si>
    <t>2168-2305</t>
  </si>
  <si>
    <t>IEEE T HUM-MACH SYST</t>
  </si>
  <si>
    <t>IEEE T. Hum.-Mach. Syst.</t>
  </si>
  <si>
    <t>10.1109/THMS.2018.2791562</t>
  </si>
  <si>
    <t>FZ5JU</t>
  </si>
  <si>
    <t>WOS:000427629300003</t>
  </si>
  <si>
    <t>Amaral, CP; Simoes, MA; Mouga, S; Andrade, J; Castelo-Branco, M</t>
  </si>
  <si>
    <t>Amaral, Carlos P.; Simoes, Marco A.; Mouga, Susana; Andrade, Joao; Castelo-Branco, Miguel</t>
  </si>
  <si>
    <t>A novel Brain Computer Interface for classification of social joint attention in autism and comparison of 3 experimental setups: A feasibility study</t>
  </si>
  <si>
    <t>JOURNAL OF NEUROSCIENCE METHODS</t>
  </si>
  <si>
    <t>Brain-computer interface; EEG; Virtual reality; Dry electrodes; Social attention</t>
  </si>
  <si>
    <t>VIRTUAL-REALITY; INDIVIDUALS; ADOLESCENTS; CHILDREN; P300; ENVIRONMENTS; STIMULI; TARGET; ADULTS; BCI</t>
  </si>
  <si>
    <t>Background: We present a novel virtual-reality P300-based Brain Computer Interface (BCI) paradigm using social cues to direct the focus of attention. We combined interactive immersive virtual-reality (VR) technology with the properties of P300 signals in a training tool which can be used in social attention disorders such as autism spectrum disorder (ASD). New method: We tested the novel social attention training paradigm (P300-based BCI paradigm for rehabilitation of joint-attention skills) in 13 healthy participants, in 3 EEG systems. The more suitable setup was tested online with 4 ASD subjects. Statistical accuracy was assessed based on the detection of P300, using spatial filtering and a Naive-Bayes classifier. Results: We compared: 1 - g.Mobilab+ (active dry-electrodes, wireless transmission); 2 - g.Nautilus (active electrodes, wireless transmission); 3 - V-Amp with actiCAP Xpress dry-electrodes. Significant statistical classification was achieved in all systems. g.Nautilus proved to be the best performing system in terms of accuracy in the detection of P300, preparation time, speed and reported comfort. Proof of concept tests in ASD participants proved that this setup is feasible for training joint attention skills in ASD. Comparison with existing methods: This work provides a unique combination of 'easy-to-use' BCI systems with new technologies such as VR to train joint-attention skills in autism. Conclusions: Our P300 BCI paradigm is feasible for future Phase I/II clinical trials to train joint-attention skills, with successful classification within few trials, online in ASD participants. The g.Nautilus system is the best performing one to use with the developed BCI setup. (C) 2017 Elsevier B.V. All rights reserved.</t>
  </si>
  <si>
    <t>[Amaral, Carlos P.; Simoes, Marco A.; Mouga, Susana; Andrade, Joao; Castelo-Branco, Miguel] Univ Coimbra, Fac Med, IBILI Inst Biomed Imaging Life Sci, Coimbra, Portugal; [Castelo-Branco, Miguel] Brain Imaging Network Portugal, ICNAS, CIBIT, Coimbra, Portugal</t>
  </si>
  <si>
    <t>Universidade de Coimbra; Universidade de Coimbra</t>
  </si>
  <si>
    <t>Castelo-Branco, M (corresponding author), IBILI Inst Biomed Imaging Life Sci, Fac Med, P-3000548 Coimbra, Portugal.</t>
  </si>
  <si>
    <t>mcbranco@fmed.uc.pt</t>
  </si>
  <si>
    <t>Simões, Marco/U-3815-2019; Amaral, Carlos/J-4282-2019; Castelo-Branco, Miguel/F-3866-2019; Mouga, Susana/AAF-6690-2020</t>
  </si>
  <si>
    <t>Castelo-Branco, Miguel/0000-0003-4364-6373; Mouga, Susana/0000-0003-1072-4208; Simoes, Marco/0000-0003-3713-2464; Amaral, Carlos/0000-0002-0493-9192</t>
  </si>
  <si>
    <t>FTC Portuguese national funding agency for science, research and technology [PAC MEDPERSYST] [POCI-01-0145-FEDER-016428]; FTC Portuguese national funding agency for science, research and technology [BIGDATIM-AGE] [CENTRO-01-0145-FEDER-000016]; FTC Portuguese national funding agency for science, research and technology - Centro FEDER; COMPETE [FCT-UID/4539/2013-COMPETE, POCI-01-0145-FEDER-007440]; BRAINTRAIN [FP7-HEALTH-2013-INNOVATION-1-602186 20]; [SFRH/BD/78982/2011]; [SFRH/BD/77044/2011]; Fundação para a Ciência e a Tecnologia [SFRH/BD/77044/2011] Funding Source: FCT</t>
  </si>
  <si>
    <t>FTC Portuguese national funding agency for science, research and technology [PAC MEDPERSYST]; FTC Portuguese national funding agency for science, research and technology [BIGDATIM-AGE]; FTC Portuguese national funding agency for science, research and technology - Centro FEDER; COMPETE; BRAINTRAIN; ; ; Fundação para a Ciência e a Tecnologia(Fundacao para a Ciencia e a Tecnologia (FCT))</t>
  </si>
  <si>
    <t>This work was supported by FTC Portuguese national funding agency for science, research and technology [Grants PAC MEDPERSYST, POCI-01-0145-FEDER-016428, BIGDATIM-AGE, CENTRO-01-0145-FEDER-000016 financed by Centro 2020 FEDER, COMPETE, FCT-UID/4539/2013-COMPETE, POCI-01-0145-FEDER-007440, and Fellowships SFRH/BD/78982/2011 2011, and SFRH/BD/77044/2011, 2011]; and the BRAINTRAIN Project Taking imaging into the therapeutic domain: Self-regulation of brain systems for mental disorders[FP7-HEALTH-2013-INNOVATION-1-602186 20, 2013].</t>
  </si>
  <si>
    <t>ELSEVIER</t>
  </si>
  <si>
    <t>AMSTERDAM</t>
  </si>
  <si>
    <t>RADARWEG 29, 1043 NX AMSTERDAM, NETHERLANDS</t>
  </si>
  <si>
    <t>0165-0270</t>
  </si>
  <si>
    <t>1872-678X</t>
  </si>
  <si>
    <t>J NEUROSCI METH</t>
  </si>
  <si>
    <t>J. Neurosci. Methods</t>
  </si>
  <si>
    <t>OCT 1</t>
  </si>
  <si>
    <t>10.1016/j.jneumeth.2017.07.029</t>
  </si>
  <si>
    <t>Biochemical Research Methods; Neurosciences</t>
  </si>
  <si>
    <t>Biochemistry &amp; Molecular Biology; Neurosciences &amp; Neurology</t>
  </si>
  <si>
    <t>FI2NQ</t>
  </si>
  <si>
    <t>WOS:000411776000012</t>
  </si>
  <si>
    <t>Amaral, C; Mouga, S; Simoes, M; Pereira, HC; Bernardino, I; Quental, H; Playle, R; McNamara, R; Oliveira, G; Castelo-Branco, M</t>
  </si>
  <si>
    <t>Amaral, Carlos; Mouga, Susana; Simoes, Marco; Pereira, Helena C.; Bernardino, Ines; Quental, Hugo; Playle, Rebecca; McNamara, Rachel; Oliveira, Guiomar; Castelo-Branco, Miguel</t>
  </si>
  <si>
    <t>A Feasibility Clinical Trial to Improve Social Attention in Autistic Spectrum Disorder (ASD) Using a Brain Computer Interface</t>
  </si>
  <si>
    <t>FRONTIERS IN NEUROSCIENCE</t>
  </si>
  <si>
    <t>autism; clinical trial; brain-computer interface; EEG; virtual reality; social attention</t>
  </si>
  <si>
    <t>JOINT ATTENTION; CHILDREN; PREVALENCE; STIMULI</t>
  </si>
  <si>
    <t>Deficits in the interpretation of others' intentions from gaze-direction or other social attention cues are well-recognized in ASD. Here we investigated whether an EEG brain computer interface (BCI) can be used to train social cognition skills in ASD patients. We performed a single-arm feasibility clinical trial and enrolled 15 participants (mean age 22y 2m) with high-functioning ASD (mean full-scale 10 103). Participants were submitted to a BCI training paradigm using a virtual reality interface over seven sessions spread over 4 months. The first four sessions occurred weekly, and the remainder monthly. In each session, the subject was asked to identify objects of interest based on the gaze direction of an avatar. Attentional responses were extracted from the EEG P300 component. A final follow-up assessment was performed 6-months after the last session. To analyze responses to joint attention cues participants were assessed pre and post intervention and in the follow-up, using an ecologic Joint-attention task. We used eye-tracking to identify the number of social attention items that a patient could accurately identify from an avatar's action cues (e.g., looking, pointing at). As secondary outcome measures we used the Autism Treatment Evaluation Checklist (ATEC) and the Vineland Adaptive Behavior Scale (NABS). Neuropsychological measures related to mood and depression were also assessed. In sum, we observed a decrease in total ATEC and rated autism symptoms (Sociability; Sensory/Cognitive Awareness; Health/PhysicaVBehavior); an evident improvement in Adapted Behavior Composite and in the DLS subarea from VABS; a decrease in Depression (from POMS) and in mood disturbance/depression (BDI). BCI online performance and tolerance were stable along the intervention. Average P300 amplitude and alpha power were also preserved across sessions. We have demonstrated the feasibility of BCI in this kind of intervention in ASD. Participants engage successfully and consistently in the task. Although the primary outcome (rate of automatic responses to joint attention cues) did not show changes, most secondary neuropsychological outcome measures showed improvement, yielding promise for a future efficacy trial.</t>
  </si>
  <si>
    <t>[Amaral, Carlos; Mouga, Susana; Simoes, Marco; Pereira, Helena C.; Bernardino, Ines; Quental, Hugo] Univ Coimbra, CNC IBILI Inst Biomed Imaging &amp; Life Sci, Fac Med, Coimbra, Portugal; [Mouga, Susana; Oliveira, Guiomar] Ctr Hosp &amp; Univ Coimbra, Pediat Hosp, Unidade Neurodesenvolvimento, Coimbra, Portugal; [Mouga, Susana; Oliveira, Guiomar] Ctr Hosp &amp; Univ Coimbra, Pediat Hosp, Autismo Serv Ctr Desenvolvimento Crianca, Coimbra, Portugal; [Simoes, Marco] Univ Coimbra, Ctr Informat &amp; Syst, Coimbra, Portugal; [Playle, Rebecca; McNamara, Rachel] Cardiff Univ, Ctr Trials Res, Cardiff, S Glam, Wales; [Oliveira, Guiomar] Univ Coimbra, Univ Clin Pediat, Fac Med, Coimbra, Portugal; [Oliveira, Guiomar] Ctr Hosp &amp; Univ Coimbra, Ctr Invest &amp; Formacao Clin, Hosp Pediat, Coimbra, Portugal; [Oliveira, Guiomar; Castelo-Branco, Miguel] Univ Coimbra, Fac Med, Coimbra, Portugal; [Castelo-Branco, Miguel] Univ Coimbra, Coimbra Inst Biomed Imaging &amp; Translat Res, ICNAS Inst Nucl Sci Appl Hlth, CIBIT, Coimbra, Portugal; [Castelo-Branco, Miguel] ICNAS Prod Unipessoal, Coimbra, Portugal</t>
  </si>
  <si>
    <t>Universidade de Coimbra; Universidade de Coimbra; Centro Hospitalar e Universitario de Coimbra (CHUC); Universidade de Coimbra; Centro Hospitalar e Universitario de Coimbra (CHUC); Universidade de Coimbra; Cardiff University; Universidade de Coimbra; Universidade de Coimbra; Centro Hospitalar e Universitario de Coimbra (CHUC); Universidade de Coimbra; Universidade de Coimbra</t>
  </si>
  <si>
    <t>Castelo-Branco, M (corresponding author), Univ Coimbra, Fac Med, Coimbra, Portugal.;Castelo-Branco, M (corresponding author), Univ Coimbra, Coimbra Inst Biomed Imaging &amp; Translat Res, ICNAS Inst Nucl Sci Appl Hlth, CIBIT, Coimbra, Portugal.;Castelo-Branco, M (corresponding author), ICNAS Prod Unipessoal, Coimbra, Portugal.</t>
  </si>
  <si>
    <t>Bernardino, Inês/AAF-6741-2020; Oliveira, Guiomar/AAF-3911-2021; , rachel/IQW-7140-2023; Simões, Marco/U-3815-2019; Amaral, Carlos/J-4282-2019; Pereira, Helena Catarina/AEX-9885-2022; Bernardino, Ines/D-4487-2018; Mouga, Susana/AAF-6690-2020; Castelo-Branco, Miguel/F-3866-2019</t>
  </si>
  <si>
    <t>Simoes, Marco/0000-0003-3713-2464; Pereira, Helena Catarina/0000-0002-1423-3038; Playle, Rebecca/0000-0002-2989-1092; Amaral, Carlos/0000-0002-0493-9192; Bernardino, Ines/0000-0003-3123-008X; Oliveira, Guiomar/0000-0002-7049-1277; McNamara, Rachel/0000-0002-7280-1611; Mouga, Susana/0000-0003-1072-4208; Castelo-Branco, Miguel/0000-0003-4364-6373</t>
  </si>
  <si>
    <t>FTC-Portuguese national funding agency for science, research, and technology [POCI-01-0145-FEDER-016428, POCI 030852, FCT-UID/4539/2013-COMPETE, POCI-01-0145-FEDER-007440, SFRH/BD/78982/2011, SFRH/BD/77044/2011, SFRH/BD/102779/2014, SFRH/BPD/101641/2014]; FTC-Portuguese national funding agency for science, research, and technology [PAC-MEDPERSYST]; FTC-Portuguese national funding agency for science, research, and technology [COMPETE 2020]; FTC-Portuguese national funding agency for science, research, and technology [BIGDATIMAGE]; FTC-Portuguese national funding agency for science, research, and technology [Centro 2020 FEDER] [CENTRO-01-0145-FEDER-000016]; FTC-Portuguese national funding agency for science, research, and technology [COMPETE]; FLAD Life Sciences; BRAINTRAIN Project-Taking imaging into the therapeutic domain: Self-regulation of brain systems for mental disorders [FP7-HEALTH-2013-INNOVATION-1-602186 20]; Fundação para a Ciência e a Tecnologia [SFRH/BD/77044/2011, SFRH/BD/102779/2014, SFRH/BPD/101641/2014, SFRH/BD/78982/2011] Funding Source: FCT</t>
  </si>
  <si>
    <t>FTC-Portuguese national funding agency for science, research, and technology; FTC-Portuguese national funding agency for science, research, and technology [PAC-MEDPERSYST]; FTC-Portuguese national funding agency for science, research, and technology [COMPETE 2020]; FTC-Portuguese national funding agency for science, research, and technology [BIGDATIMAGE]; FTC-Portuguese national funding agency for science, research, and technology [Centro 2020 FEDER]; FTC-Portuguese national funding agency for science, research, and technology [COMPETE]; FLAD Life Sciences; BRAINTRAIN Project-Taking imaging into the therapeutic domain: Self-regulation of brain systems for mental disorders; Fundação para a Ciência e a Tecnologia(Fundacao para a Ciencia e a Tecnologia (FCT))</t>
  </si>
  <si>
    <t>This work was supported by FTC-Portuguese national funding agency for science, research, and technology [Grants PAC-MEDPERSYST, POCI-01-0145-FEDER-016428, COMPETE 2020, POCI 030852, BIGDATIMAGE, CENTRO-01-0145-FEDER-000016 financed by Centro 2020 FEDER, COMPETE, FCT-UID/4539/2013-COMPETE, POCI-01-0145-FEDER-007440, and Fellowships SFRH/BD/78982/2011; SFRH/BD/77044/2011; SFRH/BD/102779/2014 and SFRH/BPD/101641/2014]; FLAD Life Sciences 2016, and the BRAINTRAIN Project-Taking imaging into the therapeutic domain: Self-regulation of brain systems for mental disorders [FP7-HEALTH-2013-INNOVATION-1-602186 20, 2013].</t>
  </si>
  <si>
    <t>1662-453X</t>
  </si>
  <si>
    <t>FRONT NEUROSCI-SWITZ</t>
  </si>
  <si>
    <t>Front. Neurosci.</t>
  </si>
  <si>
    <t>JUL 13</t>
  </si>
  <si>
    <t>10.3389/fnins.2018.00477</t>
  </si>
  <si>
    <t>Neurosciences</t>
  </si>
  <si>
    <t>Neurosciences &amp; Neurology</t>
  </si>
  <si>
    <t>GM9BK</t>
  </si>
  <si>
    <t>Green Accepted, Green Published, gold</t>
  </si>
  <si>
    <t>WOS:000438536000001</t>
  </si>
  <si>
    <t>Cox, DJ; Brown, T; Ross, V; Moncrief, M; Schmitt, R; Gaffney, G; Reeve, R</t>
  </si>
  <si>
    <t>Cox, Daniel J.; Brown, Timothy; Ross, Veerle; Moncrief, Matthew; Schmitt, Rose; Gaffney, Gary; Reeve, Ron</t>
  </si>
  <si>
    <t>Can Youth with Autism Spectrum Disorder Use Virtual Reality Driving Simulation Training to Evaluate and Improve Driving Performance? An Exploratory Study</t>
  </si>
  <si>
    <t>Autism; Asperger; Driving; Virtual reality; Driving simulation; Driving safety</t>
  </si>
  <si>
    <t>DEFICIT HYPERACTIVITY DISORDER; YOUNG-ADULTS; COGNITIVE-DEVELOPMENT; EXECUTIVE FUNCTIONS; INVOLVEMENT; BEHAVIOR; TEENS</t>
  </si>
  <si>
    <t>Investigate how novice drivers with autism spectrum disorder (ASD) differ from experienced drivers and whether virtual reality driving simulation training (VRDST) improves ASD driving performance. 51 novice ASD drivers (mean age 17.96 years, 78% male) were randomized to routine training (RT) or one of three types of VRDST (8-12 sessions). All participants followed DMV behind-the-wheel training guidelines for earning a driver's license. Participants were assessed pre- and post-training for driving-specific executive function (EF) abilities and tactical driving skills. ASD drivers showed worse baseline EF and driving skills than experienced drivers. At post-assessment, VRDST significantly improved driving and EF performance over RT. This study demonstrated feasibility and potential efficacy of VRDST for novice ASD drivers.</t>
  </si>
  <si>
    <t>[Cox, Daniel J.; Moncrief, Matthew; Reeve, Ron] Univ Virginia, Virginia Driving Safety Lab, Hlth Sci Ctr, Box 800-223, Charlottesville, VA 22908 USA; [Brown, Timothy; Schmitt, Rose; Gaffney, Gary] Univ Iowa, Natl Adv Driving Simulator, 2401 Oakdale Blvd, Iowa City, IA 52241 USA; [Ross, Veerle] Hasselt Univ, Transportat Res Inst, Sci Pk 5, B-3590 Diepenbeek, Belgium</t>
  </si>
  <si>
    <t>University of Virginia; University of Iowa; Hasselt University</t>
  </si>
  <si>
    <t>Cox, DJ (corresponding author), Univ Virginia, Virginia Driving Safety Lab, Hlth Sci Ctr, Box 800-223, Charlottesville, VA 22908 USA.</t>
  </si>
  <si>
    <t>djc4f@virginia.edu</t>
  </si>
  <si>
    <t>Ross, Veerle/Q-2493-2019; Gaffney, Gary/AAR-2762-2021</t>
  </si>
  <si>
    <t>Gaffney, Gary/0000-0003-1842-7902; Ross, Veerle/0000-0002-7830-7892</t>
  </si>
  <si>
    <t>U.S. Department of Defense [W81XWH-12-1-0608]</t>
  </si>
  <si>
    <t>U.S. Department of Defense(United States Department of Defense)</t>
  </si>
  <si>
    <t>This project was supported by grant #W81XWH-12-1-0608 from the U.S. Department of Defense. We are indebted to the assistance rendered by Sarah Cain, Addison Walker, Erin Thiemann, Roger Thompson, Paul Barnard, Kristin Lucas, Trevor Johnson, and Rachel Dyke in the execution of this study.</t>
  </si>
  <si>
    <t>10.1007/s10803-017-3164-7</t>
  </si>
  <si>
    <t>FA8UE</t>
  </si>
  <si>
    <t>WOS:000405720900021</t>
  </si>
  <si>
    <t>Bekele, E; Crittendon, J; Zheng, Z; Swanson, A; Weitlauf, A; Warren, Z; Sarkar, N</t>
  </si>
  <si>
    <t>Bekele, Esubalew; Crittendon, Julie; Zheng, Zhi; Swanson, Amy; Weitlauf, Amy; Warren, Zachary; Sarkar, Nilanjan</t>
  </si>
  <si>
    <t>Assessing the Utility of a Virtual Environment for Enhancing Facial Affect Recognition in Adolescents with Autism</t>
  </si>
  <si>
    <t>Autism spectrum disorders; Virtual reality; Facial expressions; Adaptive systems</t>
  </si>
  <si>
    <t>EMOTION RECOGNITION; SOCIAL-INTERACTION; YOUNG-CHILDREN; SPECTRUM; EXPRESSIONS; REALITY; DESIGN; FACES; TECHNOLOGIES; RESPONSES</t>
  </si>
  <si>
    <t>Teenagers with autism spectrum disorder (ASD) and age-matched controls participated in a dynamic facial affect recognition task within a virtual reality (VR) environment. Participants identified the emotion of a facial expression displayed at varied levels of intensity by a computer generated avatar. The system assessed performance (i.e., accuracy, confidence ratings, response latency, and stimulus discrimination) as well as how participants used their gaze to process facial information using an eye tracker. Participants in both groups were similarly accurate at basic facial affect recognition at varied levels of intensity. Despite similar performance characteristics, ASD participants endorsed lower confidence in their responses and substantial variation in gaze patterns in absence of perceptual discrimination deficits. These results add support to the hypothesis that deficits in emotion and face recognition for individuals with ASD are related to fundamental differences in information processing. We discuss implications of this finding in a VR environment with regards to potential future applications and paradigms targeting not just enhanced performance, but enhanced social information processing within intelligent systems capable of adaptation to individual processing differences.</t>
  </si>
  <si>
    <t>[Bekele, Esubalew; Zheng, Zhi; Sarkar, Nilanjan] Vanderbilt Univ, Dept Elect Engn &amp; Comp Sci, Nashville, TN 37212 USA; [Crittendon, Julie; Weitlauf, Amy; Warren, Zachary] Vanderbilt Univ, Dept Pediat &amp; Psychiat, Nashville, TN 37212 USA; [Crittendon, Julie; Swanson, Amy; Weitlauf, Amy; Warren, Zachary] Vanderbilt Univ, Treatment &amp; Res Inst Autism Spectrum Disorders, Vanderbilt Kennedy Ctr, Nashville, TN 37212 USA; [Warren, Zachary] Vanderbilt Univ, Dept Special Educ, Nashville, TN 37212 USA; [Sarkar, Nilanjan] Vanderbilt Univ, Dept Mech Engn, Nashville, TN 37212 USA</t>
  </si>
  <si>
    <t>Bekele, E (corresponding author), Vanderbilt Univ, Dept Elect Engn &amp; Comp Sci, 518 Olin Hall 2400 Highland Ave, Nashville, TN 37212 USA.</t>
  </si>
  <si>
    <t>esubalew.bekele@vanderbilt.edu</t>
  </si>
  <si>
    <t>Zheng, Zhi/0000-0001-6211-6744; Bekele, Esube/0000-0002-3306-4583; Warren, Zachary/0000-0001-9677-9386; Weitlauf, Amy/0000-0002-3904-6378</t>
  </si>
  <si>
    <t>Div Of Chem, Bioeng, Env, &amp; Transp Sys; Directorate For Engineering [0967170] Funding Source: National Science Foundation</t>
  </si>
  <si>
    <t>Div Of Chem, Bioeng, Env, &amp; Transp Sys; Directorate For Engineering(National Science Foundation (NSF)NSF - Directorate for Engineering (ENG))</t>
  </si>
  <si>
    <t>10.1007/s10803-014-2035-8</t>
  </si>
  <si>
    <t>AJ5TY</t>
  </si>
  <si>
    <t>WOS:000337752800013</t>
  </si>
  <si>
    <t>Valentine, AZ; Brown, BJ; Groom, MJ; Young, E; Hollis, C; Hall, CL</t>
  </si>
  <si>
    <t>Valentine, Althea Z.; Brown, Beverley J.; Groom, Madeleine J.; Young, Emma; Hollis, Chris; Hall, Charlotte L.</t>
  </si>
  <si>
    <t>A systematic review evaluating the implementation of technologies to assess, monitor and treat neurodevelopmental disorders: A map of the current evidence</t>
  </si>
  <si>
    <t>Neurodevelopmental disorders; Autism spectrum disorder; Attention deficit hyperactivity disorder; Technology; eHealth; Review</t>
  </si>
  <si>
    <t>AUTISM SPECTRUM DISORDER; DEFICIT HYPERACTIVITY DISORDER; DIGITAL HEALTH INTERVENTIONS; DEFICIT/HYPERACTIVITY DISORDER; SOCIAL-SKILLS; YOUNG-PEOPLE; CHILDREN; ADHD; ATTENTION; THERAPY</t>
  </si>
  <si>
    <t>Technology-based interventions provide an attractive option for improving service provision for neurodevelopmental disorders (NDD), for example, widening access to interventions, objective assessment, and monitoring; however, it is unclear whether there is sufficient evidence to support their use in clinical settings. This review provides an evidence map describing how technology is implemented in the assessment/diagnosis and monitoring/ treatment of NDD (Prospero CRD42018091156). Using predefined search terms in six databases, 7982 articles were identified, 808 full-texts were screened, resulting in 47 included papers. These studies were appraised and synthesised according to the following outcomes of interest: effectiveness (clinical effectiveness/ service delivery efficiencies), economic impact, and user impact (acceptability/ feasibility). The findings describe how technology is currently being utilised clinically, highlights gaps in knowledge, and discusses future research needs. Technology has been used to facilitate assessment and treatment across multiple NDD, especially Autism Spectrum (ASD) and attention-deficit/hyperactivity (ADHD) disorders. Technologies include mobile apps/tablets, robots, gaming, computerised tests, videos, and virtual reality. The outcomes presented largely focus on the clinical effectiveness of the technology, with approximately half the papers demonstrating some degree of effectiveness, however, the methodological quality of many studies is limited. Further research should focus on randomised controlled trial designs with longer follow-up periods, incorporating an economic evaluation, as well as qualitative studies including process evaluations and user impact.</t>
  </si>
  <si>
    <t>[Valentine, Althea Z.; Brown, Beverley J.; Groom, Madeleine J.; Hollis, Chris; Hall, Charlotte L.] Univ Nottingham, Sch Med, Inst Mental Hlth, Div Psychiat &amp; Appl Psychol, Nottingham, England; [Young, Emma] Nottinghamshire Healthcare NHS Fdn Trust, Lib &amp; Knowledge Serv, Duncan Macmillan House Staff Lib, Porchester Rd, Nottingham, England; [Hollis, Chris] Univ Nottingham, Sch Med, Inst Mental Hlth, NIHR MindTech MedTech Cooperat,Div Psychiat &amp; App, Nottingham, England; [Hollis, Chris] Queens Med Ctr, Dept Child &amp; Adolescent Psychiat, South Block E Floor, Nottingham NG7 2UH, England</t>
  </si>
  <si>
    <t>University of Nottingham; University of Nottingham; University of Nottingham</t>
  </si>
  <si>
    <t>Valentine, AZ (corresponding author), Univ Nottingham, Inst Mental Hlth, Div Psychiat &amp; Appl Psychol, Nottingham NG7 2TU, England.</t>
  </si>
  <si>
    <t>althea.valentine@nottingham.ac.uk</t>
  </si>
  <si>
    <t>Groom, Madeleine/GYJ-7593-2022; Valentine, Althea/AAB-3311-2021</t>
  </si>
  <si>
    <t>Brown, Beverley/0000-0002-1026-278X; Hall, Charlotte L/0000-0002-5412-6165; Hollis, Chris/0000-0003-1083-6744</t>
  </si>
  <si>
    <t>NIHR Collaboration for Leadership in Applied Health Research and Care East Midlands [RC4816]</t>
  </si>
  <si>
    <t>NIHR Collaboration for Leadership in Applied Health Research and Care East Midlands</t>
  </si>
  <si>
    <t>This research was funded by the NIHR Collaboration for Leadership in Applied Health Research and Care East Midlands (CLAHRC-EM; RC4816). The funders had no role in the study design, collection, analysis or interpretation of the data, writing the manuscript, or the decision to submit the paper for publication. Disclaimer: The views expressed are those of the author(s) and not necessarily those of the NHS, the NIHR or the Department of Health.</t>
  </si>
  <si>
    <t>10.1016/j.cpr.2020.101870</t>
  </si>
  <si>
    <t>NE6UL</t>
  </si>
  <si>
    <t>WOS:000562736400003</t>
  </si>
  <si>
    <t>Strickland, D</t>
  </si>
  <si>
    <t>A virtual reality application with autistic children</t>
  </si>
  <si>
    <t>PRESENCE-TELEOPERATORS AND VIRTUAL ENVIRONMENTS</t>
  </si>
  <si>
    <t>COMPUTER; INSTRUCTION</t>
  </si>
  <si>
    <t>Using the advantages of the sense of presence generated by virtual reality, a system to help children with autism was developed. Two case studies with children showed virtual reality has the potential to provide a safer, customized learning environment for individuals with autism. A model of reality that discusses historical and perceptual rules as well as input stimuli in forming a sense of presence is described.</t>
  </si>
  <si>
    <t>Strickland, D (corresponding author), N CAROLINA STATE UNIV, DEPT COMP SCI, RALEIGH, NC 27695 USA.</t>
  </si>
  <si>
    <t>MIT PRESS</t>
  </si>
  <si>
    <t>55 HAYWARD STREET, CAMBRIDGE, MA 02142 USA</t>
  </si>
  <si>
    <t>1054-7460</t>
  </si>
  <si>
    <t>PRESENCE-TELEOP VIRT</t>
  </si>
  <si>
    <t>Presence-Teleoper. Virtual Env.</t>
  </si>
  <si>
    <t>SUM</t>
  </si>
  <si>
    <t>10.1162/pres.1996.5.3.319</t>
  </si>
  <si>
    <t>Computer Science, Cybernetics; Computer Science, Software Engineering</t>
  </si>
  <si>
    <t>VF835</t>
  </si>
  <si>
    <t>WOS:A1996VF83500005</t>
  </si>
  <si>
    <t>Lan, YJ; Hsiao, IYT; Shih, MF</t>
  </si>
  <si>
    <t>Lan, Yu-Ju; Hsiao, Indy Y. T.; Shih, Mei-Feng</t>
  </si>
  <si>
    <t>Effective Learning Design of Game-Based 3D Virtual Language Learning Environments for Special Education Students</t>
  </si>
  <si>
    <t>EDUCATIONAL TECHNOLOGY &amp; SOCIETY</t>
  </si>
  <si>
    <t>3D virtual environment; Second Life; Speech delay; Special education students; Design-based research</t>
  </si>
  <si>
    <t>2ND LIFE; REALITY; CHILDREN; CHINESE</t>
  </si>
  <si>
    <t>This current study aimed at creating a 3D virtual environment on Second Life particularly for special education students to enhance their first language, Mandarin, learning in vocabulary and sentence structures. Four students aged between 8 and 9 participated in this research. In addition to their inherent disabilities (mild autism spectrum disorder, attention-deficit hyperactivity disorder, or mild mental retardation), all the four participants suffer from delayed language development. The purpose of the 3-month study was therefore to establish a platform enhancing their learning of Mandarin Chinese. A design-based qualitative design was adopted in this study. The collected data included in-class observation, video clips of learning process, and post-study interviews with the four disabled children. Additionally, parents' comments on their children's oral expression skills at home were also collected. Through a two-cycle investigation, this research proposed six categories of Human-computer interface (HCI) design principles for using virtual worlds to enhance special education students' Mandarin learning. In addition, both the interview results and the parents' comments confirmed the effects of using this platform for special education students' learning.</t>
  </si>
  <si>
    <t>[Lan, Yu-Ju; Hsiao, Indy Y. T.] Natl Taiwan Normal Univ, Dept Chinese Language 2, Taipei, Taiwan; [Shih, Mei-Feng] Taipei JiLin Elementary Sch, Taipei, Taiwan</t>
  </si>
  <si>
    <t>National Taiwan Normal University</t>
  </si>
  <si>
    <t>Lan, YJ (corresponding author), Natl Taiwan Normal Univ, Dept Chinese Language 2, Taipei, Taiwan.</t>
  </si>
  <si>
    <t>yujulan@gmail.com; indymajere@gmail.com; esperanzashyr@gmail.com</t>
  </si>
  <si>
    <t>Lan, Yu-Ju/0000-0003-0229-5079</t>
  </si>
  <si>
    <t>Ministry of Science and Technology, Taiwan, R.O.C. [MOST 105-2511-S-003-018-MY3, MOST 106-2511-S-003-015-MY3]; Chinese Language and Technology Center of National Taiwan Normal University (NTNU) from The Featured Areas Research Center Program within Higher Education Sprout Project by the Ministry of Education(MOE) in Taiwan</t>
  </si>
  <si>
    <t>Ministry of Science and Technology, Taiwan, R.O.C.(Ministry of Science and Technology, Taiwan); Chinese Language and Technology Center of National Taiwan Normal University (NTNU) from The Featured Areas Research Center Program within Higher Education Sprout Project by the Ministry of Education(MOE) in Taiwan</t>
  </si>
  <si>
    <t>We would like to thank two anonymous reviewers and editors for their valuable comments and suggestions for improving this article. We thank the Ministry of Science and Technology, Taiwan, R.O.C., under Grant Nos. MOST 105-2511-S-003-018-MY3 and MOST 106-2511-S-003-015-MY3 for financially supporting this research. We are also grateful that this research was partially supported by the Chinese Language and Technology Center of National Taiwan Normal University (NTNU) from The Featured Areas Research Center Program within the framework of the Higher Education Sprout Project by the Ministry of Education(MOE) in Taiwan.</t>
  </si>
  <si>
    <t>INT FORUM EDUCATIONAL TECHNOLOGY &amp; SOC-IFETS</t>
  </si>
  <si>
    <t>DOULIU CITY</t>
  </si>
  <si>
    <t>NATL YUNLIN UNIV SCIENCE &amp; TECHNOLOGY, NO 123, SECTION 3, DAXUE RD, DOULIU CITY, YUNLIN COUNTY, TAIWAN</t>
  </si>
  <si>
    <t>1176-3647</t>
  </si>
  <si>
    <t>1436-4522</t>
  </si>
  <si>
    <t>EDUC TECHNOL SOC</t>
  </si>
  <si>
    <t>Educ. Technol. Soc.</t>
  </si>
  <si>
    <t>GM4JR</t>
  </si>
  <si>
    <t>WOS:000438086400018</t>
  </si>
  <si>
    <t>Parsons, TD; Carlew, AR</t>
  </si>
  <si>
    <t>Parsons, Thomas D.; Carlew, Anne R.</t>
  </si>
  <si>
    <t>Bimodal Virtual Reality Stroop for Assessing Distractor Inhibition in Autism Spectrum Disorders</t>
  </si>
  <si>
    <t>Virtual reality; Autism; Neuropsychology; Executive functioning; Stroop; Ecological validity</t>
  </si>
  <si>
    <t>HIGH-FUNCTIONING AUTISM; EXECUTIVE FUNCTION; CIRCUMSCRIBED ATTENTION; ASPERGER-SYNDROME; CHILDREN; PERFORMANCE; VALIDITY; ENVIRONMENTS; INDIVIDUALS; COLLEGE</t>
  </si>
  <si>
    <t>Executive functioning deficits found in college students with ASD may have debilitating effects on their everyday activities. Although laboratory studies tend to report unimpaired inhibition in autism, studies of resistance to distractor inhibition reveal difficulties. In two studies, we compared a Virtual Classroom task with paper-and-pencil and computerized Stroop modalities in typically developing individuals and individuals with ASD. While significant differences were not observed between ASD and neurotypical groups on the paper-and-pencil and computerized task, individuals with ASD performed significantly worse on the virtual task with distractors. Findings suggest the potential of the Virtual Classroom Bimodal Stroop task to distinguish between prepotent response inhibition (non-distraction condition) and resistance to distractor inhibition (distraction condition) in adults with high functioning autism.</t>
  </si>
  <si>
    <t>[Parsons, Thomas D.; Carlew, Anne R.] Univ N Texas, Dept Psychol, Computat Neuropsychol &amp; Simulat CNS, 1155 Union Circle,311280, Denton, TX 76203 USA</t>
  </si>
  <si>
    <t>University of North Texas System; University of North Texas Denton</t>
  </si>
  <si>
    <t>Parsons, TD (corresponding author), Univ N Texas, Dept Psychol, Computat Neuropsychol &amp; Simulat CNS, 1155 Union Circle,311280, Denton, TX 76203 USA.</t>
  </si>
  <si>
    <t>Thomas.Parsons@unt.edu</t>
  </si>
  <si>
    <t>Parsons, Thomas/0000-0003-0331-5019; Carlew, Anne/0000-0001-7980-3954</t>
  </si>
  <si>
    <t>10.1007/s10803-015-2663-7</t>
  </si>
  <si>
    <t>DG7RH</t>
  </si>
  <si>
    <t>WOS:000372280900012</t>
  </si>
  <si>
    <t>Alcañiz, M; Chicchi-Giglioli, IA; Carrasco-Ribelles, LA; Marín-Morales, J; Minissi, ME; Teruel-Garcia, G; Sirera, M; Abad, L</t>
  </si>
  <si>
    <t>Alcaniz, Mariano; Chicchi-Giglioli, Irene Alice; Carrasco-Ribelles, Lucia A.; Marin-Morales, Javier; Eleonora Minissi, Maria; Teruel-Garcia, Gonzalo; Sirera, Marian; Abad, Luis</t>
  </si>
  <si>
    <t>Eye gaze as a biomarker in the recognition of autism spectrum disorder using virtual reality and machine learning: A proof of concept for diagnosis</t>
  </si>
  <si>
    <t>AUTISM RESEARCH</t>
  </si>
  <si>
    <t>autism spectrum disorder; behavioral biomarker; eye tracking; machine learning; multivariate supervised learning; virtual reality</t>
  </si>
  <si>
    <t>SOCIAL ATTENTION; CHILDREN; ADOLESCENTS; STIMULUS; INFANTS; SKILLS; ASD</t>
  </si>
  <si>
    <t>The core symptoms of autism spectrum disorder (ASD) mainly relate to social communication and interactions. ASD assessment involves expert observations in neutral settings, which introduces limitations and biases related to lack of objectivity and does not capture performance in real-world settings. To overcome these limitations, advances in technologies (e.g., virtual reality) and sensors (e.g., eye-tracking tools) have been used to create realistic simulated environments and track eye movements, enriching assessments with more objective data than can be obtained via traditional measures. This study aimed to distinguish between autistic and typically developing children using visual attention behaviors through an eye-tracking paradigm in a virtual environment as a measure of attunement to and extraction of socially relevant information. The 55 children participated. Autistic children presented a higher number of frames, both overall and per scenario, and showed higher visual preferences for adults over children, as well as specific preferences for adults' rather than children's faces on which looked more at bodies. A set of multivariate supervised machine learning models were developed using recursive feature selection to recognize ASD based on extracted eye gaze features. The models achieved up to 86% accuracy (sensitivity = 91%) in recognizing autistic children. Our results should be taken as preliminary due to the relatively small sample size and the lack of an external replication dataset. However, to our knowledge, this constitutes a first proof of concept in the combined use of virtual reality, eye-tracking tools, and machine learning for ASD recognition. Lay Summary Core symptoms in children with ASD involve social communication and interaction. ASD assessment includes expert observations in neutral settings, which show limitations and biases related to lack of objectivity and do not capture performance in real settings. To overcome these limitations, this work aimed to distinguish between autistic and typically developing children in visual attention behaviors through an eye-tracking paradigm in a virtual environment as a measure of attunement to, and extraction of, socially relevant information.</t>
  </si>
  <si>
    <t>[Alcaniz, Mariano; Chicchi-Giglioli, Irene Alice; Carrasco-Ribelles, Lucia A.; Marin-Morales, Javier; Eleonora Minissi, Maria; Teruel-Garcia, Gonzalo] Univ Politecn Valencia, Inst Invest &amp; Innovac Bioingn I3B, Valencia, Spain; [Carrasco-Ribelles, Lucia A.] Fundacio Inst Univ Recerca Atencio Primaria Salut, Barcelona, Spain; [Sirera, Marian; Abad, Luis] Ctr Desarrollo Cognit, Red Cenit, Valencia, Spain</t>
  </si>
  <si>
    <t>Universitat Politecnica de Valencia</t>
  </si>
  <si>
    <t>Chicchi-Giglioli, IA (corresponding author), Univ Politecn Valencia, Inst Invest &amp; Innovac Bioingn I3B, Valencia, Spain.</t>
  </si>
  <si>
    <t>alicechicchi@i3b.upv.es</t>
  </si>
  <si>
    <t>Alcañiz, Mariano/CAG-6569-2022; Marin, Javier/AAL-1463-2020; Alcaniz, Mariano/I-9659-2016</t>
  </si>
  <si>
    <t>Carrasco Ribelles, Lucia Amalia/0000-0001-9263-1747; Chicchi Giglioli, Irene Alice/0000-0003-2577-0039; Alcaniz, Mariano/0000-0001-9207-0636</t>
  </si>
  <si>
    <t>Spanish Ministry of Economy, Industry, and Competitiveness [IDI-20170912]</t>
  </si>
  <si>
    <t>Spanish Ministry of Economy, Industry, and Competitiveness(Spanish Government)</t>
  </si>
  <si>
    <t>Spanish Ministry of Economy, Industry, and Competitiveness-funded project Immersive Virtual Environment for the Evaluation and Training of Children with Autism Spectrum Disorder: T Room, Grant/Award Number: IDI20170912</t>
  </si>
  <si>
    <t>WILEY</t>
  </si>
  <si>
    <t>111 RIVER ST, HOBOKEN 07030-5774, NJ USA</t>
  </si>
  <si>
    <t>1939-3792</t>
  </si>
  <si>
    <t>1939-3806</t>
  </si>
  <si>
    <t>AUTISM RES</t>
  </si>
  <si>
    <t>Autism Res.</t>
  </si>
  <si>
    <t>10.1002/aur.2636</t>
  </si>
  <si>
    <t>Behavioral Sciences; Psychology, Developmental</t>
  </si>
  <si>
    <t>Behavioral Sciences; Psychology</t>
  </si>
  <si>
    <t>YE8DJ</t>
  </si>
  <si>
    <t>Green Published</t>
  </si>
  <si>
    <t>WOS:000721474700001</t>
  </si>
  <si>
    <t>Simoes, M; Bernardes, M; Barros, F; Castelo-Branco, M</t>
  </si>
  <si>
    <t>Simoes, Marco; Bernardes, Miguel; Barros, Fernando; Castelo-Branco, Miguel</t>
  </si>
  <si>
    <t>Virtual Travel Training for Autism Spectrum Disorder: Proof-of-Concept Interventional Study</t>
  </si>
  <si>
    <t>JMIR SERIOUS GAMES</t>
  </si>
  <si>
    <t>Autism Spectrum Disorder; serious games; virtual reality; virtual reality therapy; travel train; bus</t>
  </si>
  <si>
    <t>HIGH-FUNCTIONING AUTISM; REALITY; CHILDREN; ADULTS</t>
  </si>
  <si>
    <t>Background: Autism Spectrum Disorder (ASD) is a neurodevelopmental disorder characterized by impairments in social interaction and repetitive patterns of behavior, which can lead to deficits in adaptive behavior. In this study, a serious game was developed to train individuals with ASD for an important type of outdoor activity, which is the use of buses as a means of transportation.&amp; para;&amp; para;Objective: The aim of this study was to develop a serious game that defines a safe environment where the players became familiar with the process of taking a bus and to validate if it could be used effectively to teach bus-taking routines and adaptive procedures to individuals with ASD.&amp; para;&amp; para;Methods: In the game, players were placed in a three-dimensional city and were submitted to a set of tasks that involved taking buses to reach specific destinations. Participants with ASD (n=10) underwent between 1 to 3 training sessions. Participants with typical development (n=10) were also included in this study for comparison purposes and received 1 control session.&amp; para;&amp; para;Results: We found a statistically significant increase in the measures of knowledge of the process of riding a bus, a reduction in the electrodermal activity (a metric of anxiety) measured inside the bus environments, and a high success rate of their application within the game (93.8%).&amp; para;&amp; para;Conclusions: The developed game proved to be potentially useful in the context of emerging immersive virtual reality technologies, of which use in therapies and serious games is still in its infancy. Our findings suggest that serious games, using these technologies, can be used effectively in helping people with ASD become more independent in outdoor activities, specifically regarding the use of buses for transportation.</t>
  </si>
  <si>
    <t>[Simoes, Marco; Bernardes, Miguel; Castelo-Branco, Miguel] Univ Coimbra, Coimbra Inst Biomed Imaging &amp; Translat Res, Inst Nucl Sci Appl Hlth, Coimbra, Portugal; [Simoes, Marco; Bernardes, Miguel; Barros, Fernando] Univ Coimbra, Ctr Informat &amp; Syst, Coimbra, Portugal; [Simoes, Marco; Castelo-Branco, Miguel] Univ Coimbra, Fac Med, Azinhaga Santa Comba, P-3000548 Coimbra, Portugal</t>
  </si>
  <si>
    <t>Universidade de Coimbra; Universidade de Coimbra; Universidade de Coimbra</t>
  </si>
  <si>
    <t>Castelo-Branco, M (corresponding author), Univ Coimbra, Fac Med, Azinhaga Santa Comba, P-3000548 Coimbra, Portugal.</t>
  </si>
  <si>
    <t>Simões, Marco/U-3815-2019; Branco, Miguel/IAQ-4914-2023; Barros, Fernando/H-5574-2019; Castelo-Branco, Miguel/F-3866-2019</t>
  </si>
  <si>
    <t>Castelo-Branco, Miguel/0000-0003-4364-6373; Simoes, Marco/0000-0003-3713-2464; Barros, Fernando/0000-0002-3792-2354</t>
  </si>
  <si>
    <t>AAC SI/HomeTech/QREN Compete; FEDER; Portuguese Foundation for Science and Technology; European Project BRAINTRAIN [FP7-HEALTH-2013-Innovation-1-602186BrainTrain]; European Project H2020-STIPED [731827]; FCT (Fundacao para a Ciencia e Tecnologia) [UID/NEU/04539/2013, POCI-01-0145-FEDER-007440]; [SFRH/BD/77044/2011]; Fundação para a Ciência e a Tecnologia [SFRH/BD/77044/2011] Funding Source: FCT</t>
  </si>
  <si>
    <t>AAC SI/HomeTech/QREN Compete; FEDER(European Union (EU)Spanish Government); Portuguese Foundation for Science and Technology(Fundacao para a Ciencia e a Tecnologia (FCT)); European Project BRAINTRAIN; European Project H2020-STIPED; FCT (Fundacao para a Ciencia e Tecnologia)(Fundacao para a Ciencia e a Tecnologia (FCT)); ; Fundação para a Ciência e a Tecnologia(Fundacao para a Ciencia e a Tecnologia (FCT))</t>
  </si>
  <si>
    <t>This study was supported by the AAC SI/2011/HomeTech/QREN Compete, cofinanced by FEDER, the Portuguese Foundation for Science and Technology, the European Projects BRAINTRAIN (FP7-HEALTH-2013-Innovation-1-602186BrainTrain), H2020-STIPED Project number: 731827, FCT (Fundacao para a Ciencia e Tecnologia) UID/NEU/04539/2013, POCI-01-0145-FEDER-007440, and PhD grant SFRH/BD/77044/2011. The authors would like to thank APPDA-Viseu and all the participants and parents who collaborated in this study.</t>
  </si>
  <si>
    <t>JMIR PUBLICATIONS, INC</t>
  </si>
  <si>
    <t>TORONTO</t>
  </si>
  <si>
    <t>59 WINNERS CIRCLE, TORONTO, ON M4L 3Y7, CANADA</t>
  </si>
  <si>
    <t>2291-9279</t>
  </si>
  <si>
    <t>JMIR Serious Games</t>
  </si>
  <si>
    <t>e5</t>
  </si>
  <si>
    <t>10.2196/games.8428</t>
  </si>
  <si>
    <t>Health Care Sciences &amp; Services; Public, Environmental &amp; Occupational Health; Medical Informatics</t>
  </si>
  <si>
    <t>GD4KX</t>
  </si>
  <si>
    <t>Green Published, gold, Green Submitted</t>
  </si>
  <si>
    <t>WOS:000430473100005</t>
  </si>
  <si>
    <t>Kim, K; Rosenthal, MZ; Gwaltney, M; Jarrold, W; Hatt, N; McIntyre, N; Swain, L; Solomon, M; Mundy, P</t>
  </si>
  <si>
    <t>Kim, Kwanguk; Rosenthal, M. Zachary; Gwaltney, Mary; Jarrold, William; Hatt, Naomi; McIntyre, Nancy; Swain, Lindsay; Solomon, Marjorie; Mundy, Peter</t>
  </si>
  <si>
    <t>A Virtual Joy-Stick Study of Emotional Responses and Social Motivation in Children with Autism Spectrum Disorder</t>
  </si>
  <si>
    <t>Interpersonal distance; Emotional accuracy; Social-motivation; Reward sensitivity; Virtual avatar; High function Autism Spectrum Disorder</t>
  </si>
  <si>
    <t>JOINT ATTENTION; SCREENING QUESTIONNAIRE; FACIAL EXPRESSIONS; ASPERGER-SYNDROME; ANXIETY; RECOGNITION; ADOLESCENTS; AVOIDANCE</t>
  </si>
  <si>
    <t>A new virtual reality task was employed which uses preference for interpersonal distance to social stimuli to examine social motivation and emotion perception in children with Autism Spectrum Disorders. Nineteen high function children with higher functioning Autism Spectrum Disorder (HFASD) and 23 age, gender, and IQ matched children with typical development (TD) used a joy stick to position themselves closer or further from virtual avatars while attempting to identify six emotions expressed by the avatars, happiness, fear, anger, disgust, sadness, and surprise that were expressed at different levels of intensity. The results indicated that children with HFASD displayed significantly less approach behavior to the positive happy expression than did children with TD, who displayed increases in approach behavior to higher intensities of happy expressions. Alternatively, all groups tended to withdraw from negative emotions to the same extent and there were no diagnostic group differences in accuracy of recognition of any of the six emotions. This pattern of results is consistent with theory that suggests that some children with HFASD display atypical social-approach motivation, or sensitivity to the positive reward value of positive social-emotional events. Conversely, there was little evidence that a tendency to withdraw from social-emotional stimuli, or a failure to process social emotional stimuli, was a component of social behavior task performance in this sample of children with HFASD.</t>
  </si>
  <si>
    <t>[Kim, Kwanguk; Gwaltney, Mary; McIntyre, Nancy; Swain, Lindsay; Mundy, Peter] Univ Calif Davis, Sch Educ, Davis, CA 95616 USA; [Kim, Kwanguk; Jarrold, William; Solomon, Marjorie; Mundy, Peter] Univ Calif Davis, Dept Psychiat, Davis, CA 95616 USA; [Kim, Kwanguk; Jarrold, William; Solomon, Marjorie; Mundy, Peter] Univ Calif Davis, MIND Inst, Davis, CA 95616 USA; [Kim, Kwanguk] Hanyang Univ, Div Comp Sci &amp; Engn, Seoul 133791, South Korea; [Rosenthal, M. Zachary] Duke Univ, Med Ctr, Dept Psychiat &amp; Behav Sci, Durham, NC USA; [Hatt, Naomi] Univ Calif Davis, Dept Psychol, Davis, CA 95616 USA; [Mundy, Peter] Social Attent &amp; Virtual Real Lab, Davis, CA 95618 USA</t>
  </si>
  <si>
    <t>University of California System; University of California Davis; University of California System; University of California Davis; University of California System; University of California Davis; Hanyang University; Duke University; University of California System; University of California Davis</t>
  </si>
  <si>
    <t>Mundy, P (corresponding author), Social Attent &amp; Virtual Real Lab, 267 Cousteau Pl, Davis, CA 95618 USA.</t>
  </si>
  <si>
    <t>pcmundy@ucdavis.edu</t>
  </si>
  <si>
    <t>Solomon, Marjorie/W-9015-2019</t>
  </si>
  <si>
    <t>IES Grant [R324A110174]; NIMH [R21MH085904]</t>
  </si>
  <si>
    <t>IES Grant(US Department of EducationInstitute of Education Sciences (IES)); NIMH(United States Department of Health &amp; Human ServicesNational Institutes of Health (NIH) - USANIH National Institute of Mental Health (NIMH))</t>
  </si>
  <si>
    <t>This research was supported by IES Grant R324A110174 and NIMH Grant R21MH085904.</t>
  </si>
  <si>
    <t>10.1007/s10803-014-2036-7</t>
  </si>
  <si>
    <t>CX0WD</t>
  </si>
  <si>
    <t>Green Accepted, Green Submitted</t>
  </si>
  <si>
    <t>WOS:000365417100012</t>
  </si>
  <si>
    <t>A Physiologically Informed Virtual Reality Based Social Communication System for Individuals with Autism</t>
  </si>
  <si>
    <t>ASD; Virtual-reality; Eye-tracking; Fixation duration; Pupil diameter; Blink rate</t>
  </si>
  <si>
    <t>SPECTRUM; CHILDREN; RESPONSES; GAZE; ADULTS; SKILLS; EYES</t>
  </si>
  <si>
    <t>Clinical applications of advanced technology may hold promise for addressing impairments associated with autism spectrum disorders (ASD). This project evaluated the application of a novel physiologically responsive virtual reality based technological system for conversation skills in a group of adolescents with ASD. The system altered components of conversation based on (1) performance alone or (2) the composite effect of performance and physiological metrics of predicted engagement (e.g., gaze pattern, pupil dilation, blink rate). Participants showed improved performance and looking pattern within the physiologically sensitive system as compared to the performance based system. This suggests that physiologically informed technologies may have the potential of being an effective tool in the hands of interventionists.</t>
  </si>
  <si>
    <t>[Lahiri, Uttama] Indian Inst Technol, Elect Engn, Gandhinagar, India; [Bekele, Esubalew; Sarkar, Nilanjan] Vanderbilt Univ, Elect Engn &amp; Comp Sci, Nashville, TN 37235 USA; [Dohrmann, Elizabeth] Univ Tennessee, Hlth Sci Ctr, Memphis, TN USA; [Warren, Zachary] Vanderbilt Univ, Pediat &amp; Psychiat, Nashville, TN 37235 USA; [Sarkar, Nilanjan] Vanderbilt Univ, Mech Engn, Nashville, TN 37235 USA</t>
  </si>
  <si>
    <t>Lahiri, U (corresponding author), Indian Inst Technol, Elect Engn, Gandhinagar, India.</t>
  </si>
  <si>
    <t>uttamalahiri@iitgn.ac.in</t>
  </si>
  <si>
    <t>National Science Foundation Grant [0967170]; National Institute of Health Grant [R01 MH091102]; Div Of Chem, Bioeng, Env, &amp; Transp Sys; Directorate For Engineering [0967170] Funding Source: National Science Foundation</t>
  </si>
  <si>
    <t>National Science Foundation Grant(National Science Foundation (NSF)); National Institute of Health Grant(United States Department of Health &amp; Human ServicesNational Institutes of Health (NIH) - USA); Div Of Chem, Bioeng, Env, &amp; Transp Sys; Directorate For Engineering(National Science Foundation (NSF)NSF - Directorate for Engineering (ENG))</t>
  </si>
  <si>
    <t>The authors would like to thank the participants and their families for making this study possible. We also gratefully acknowledge National Science Foundation Grant (Grant Number 0967170) and National Institute of Health Grant (Grant Number R01 MH091102) that partially supported the research presented here.</t>
  </si>
  <si>
    <t>10.1007/s10803-014-2240-5</t>
  </si>
  <si>
    <t>CE1BO</t>
  </si>
  <si>
    <t>WOS:000351546800004</t>
  </si>
  <si>
    <t>Saiano, M; Pellegrino, L; Casadio, M; Summa, S; Garbarino, E; Rossi, V; Dall'Agata, D; Sanguineti, V</t>
  </si>
  <si>
    <t>Saiano, Mario; Pellegrino, Laura; Casadio, Maura; Summa, Susanna; Garbarino, Eleonora; Rossi, Valentina; Dall'Agata, Daniela; Sanguineti, Vittorio</t>
  </si>
  <si>
    <t>Natural interfaces and virtual environments for the acquisition of street crossing and path following skills in adults with Autism Spectrum Disorders: a feasibility study</t>
  </si>
  <si>
    <t>JOURNAL OF NEUROENGINEERING AND REHABILITATION</t>
  </si>
  <si>
    <t>Natural interfaces; Virtual environments; Kinect; Autism spectrum disorder; Safety skills; Adults</t>
  </si>
  <si>
    <t>REALITY; CHILDREN; ADOLESCENTS; EDUCATION; INDIVIDUALS; DISABILITY; PEOPLE; TOOL</t>
  </si>
  <si>
    <t>Background: Lack of social skills and/or a reduced ability to determine when to use them are common symptoms of Autism Spectrum Disorder (ASD). Here we examine whether an integrated approach based on virtual environments and natural interfaces is effective in teaching safety skills in adults with ASD. We specifically focus on pedestrian skills, namely street crossing with or without traffic lights, and following road signs. Methods: Seven adults with ASD explored a virtual environment (VE) representing a city (buildings, sidewalks, streets, squares), which was continuously displayed on a wide screen. A markerless motion capture device recorded the subjects' movements, which were translated into control commands for the VE according to a predefined vocabulary of gestures. The treatment protocol consisted of ten 45-minutes sessions (1 session/week). During a familiarization phase, the participants practiced the vocabulary of gestures. In a subsequent training phase, participants had to follow road signs (to either a police station or a pharmacy) and to cross streets with and without traffic lights. We assessed the performance in both street crossing (number and type of errors) and navigation (walking speed, path length and ability to turn without stopping). To assess their understanding of the practiced skill, before and after treatment subjects had to answer a test questionnaire. To assess transfer of the learned skill to real-life situations, another specific questionnaire was separately administered to both parents/legal guardians and the subjects' personal caregivers. Results: One subject did not complete the familiarization phase because of problems with depth perception. The six subjects who completed the protocol easily learned the simple body gestures required to interact with the VE. Over sessions they significantly improved their navigation performance, but did not significantly reduce the errors made in street crossing. In the test questionnaire they exhibited no significant reduction in the number of errors. However, both parents and caregivers reported a significant improvement in the subjects' street crossing performance. Their answers were also highly consistent, thus pointing at a significant transfer to real-life behaviors. Conclusions: Rehabilitation of adults with ASD mainly focuses on educational interventions that have an impact in their quality of life, which includes safety skills. Our results confirm that interaction with VEs may be effective in facilitating the acquisition of these skills.</t>
  </si>
  <si>
    <t>[Saiano, Mario; Pellegrino, Laura; Casadio, Maura; Summa, Susanna; Sanguineti, Vittorio] Univ Genoa, Dept Informat Bioengn Robot &amp; Syst Engn, I-16145 Genoa, Italy; [Saiano, Mario; Garbarino, Eleonora; Rossi, Valentina; Dall'Agata, Daniela] ASL3 Genovese, Dept Primary Care, Genoa, Italy</t>
  </si>
  <si>
    <t>University of Genoa</t>
  </si>
  <si>
    <t>Sanguineti, V (corresponding author), Univ Genoa, Dept Informat Bioengn Robot &amp; Syst Engn, Via Opera Pia 13, I-16145 Genoa, Italy.</t>
  </si>
  <si>
    <t>vittorio.sanguineti@unige.it</t>
  </si>
  <si>
    <t>Sanguineti, Vittorio/J-3550-2012; Casadio, Maura/AFM-0496-2022; summa, susanna/K-4172-2018</t>
  </si>
  <si>
    <t>summa, susanna/0000-0002-7416-4855; saiano, mario/0000-0002-2911-8665; Sanguineti, Vittorio/0000-0001-8746-3136</t>
  </si>
  <si>
    <t>Italian Ministry of Education, University and Research</t>
  </si>
  <si>
    <t>Italian Ministry of Education, University and Research(Ministry of Education, Universities and Research (MIUR))</t>
  </si>
  <si>
    <t>This work was partly supported by a grant from the Italian Ministry of Education, University and Research (PRIN 2009) and with the kind contribution of the Italian Ministry of Foreign Affairs, Unit for S/T cooperation. The authors wish to thank G. Riva, A. Gaggioli and C. Vigna for the kind support with the NeuroVR environment, and F. Borgioli for donating the experimental apparatus.</t>
  </si>
  <si>
    <t>BMC</t>
  </si>
  <si>
    <t>CAMPUS, 4 CRINAN ST, LONDON N1 9XW, ENGLAND</t>
  </si>
  <si>
    <t>1743-0003</t>
  </si>
  <si>
    <t>J NEUROENG REHABIL</t>
  </si>
  <si>
    <t>J. NeuroEng. Rehabil.</t>
  </si>
  <si>
    <t>FEB 19</t>
  </si>
  <si>
    <t>10.1186/s12984-015-0010-z</t>
  </si>
  <si>
    <t>Engineering, Biomedical; Neurosciences; Rehabilitation</t>
  </si>
  <si>
    <t>Engineering; Neurosciences &amp; Neurology; Rehabilitation</t>
  </si>
  <si>
    <t>CC6TH</t>
  </si>
  <si>
    <t>WOS:000350500900001</t>
  </si>
  <si>
    <t>Grynszpan, O; Nadel, J; Martin, JC; Simonin, J; Bailleul, P; Wang, Y; Gepner, D; Le Barillier, F; Constant, J</t>
  </si>
  <si>
    <t>Grynszpan, Ouriel; Nadel, Jacqueline; Martin, Jean-Claude; Simonin, Jerome; Bailleul, Pauline; Wang, Yun; Gepner, Daniel; Le Barillier, Florence; Constant, Jacques</t>
  </si>
  <si>
    <t>Self-Monitoring of Gaze in High Functioning Autism</t>
  </si>
  <si>
    <t>High functioning autism; Action-monitoring; Agency; Eye-tracking; Virtual reality; Pragmatics</t>
  </si>
  <si>
    <t>CHILDREN; FIXATION; STIMULI; IMPAIRMENT; AWARENESS; DISORDER; ADULTS; FACES</t>
  </si>
  <si>
    <t>Atypical visual behaviour has been recently proposed to account for much of social misunderstanding in autism. Using an eye-tracking system and a gaze-contingent lens display, the present study explores self-monitoring of eye motion in two conditions: free visual exploration and guided exploration via blurring the visual field except for the focal area of vision. During these conditions, thirteen students with High Functioning Autism Spectrum Disorders (HFASD) and fourteen typical individuals were presented naturalistic and interactive social stimuli using virtual reality. Fixation data showed a weaker modulation of eye movements according to the conditions in the HFASD group, thus suggesting impairments in self-monitoring of gaze. Moreover, the gaze-contingent lens induced a visual behaviour whereby social understanding scores were correlated with the time spent gazing at faces. The device could be useful for treating gaze monitoring deficiencies in HFASD.</t>
  </si>
  <si>
    <t>[Grynszpan, Ouriel; Nadel, Jacqueline; Bailleul, Pauline; Gepner, Daniel] Univ Paris 06, CNRS, USR 3246, Hop La Pitie Salpetriere, F-75013 Paris, France; [Martin, Jean-Claude; Wang, Yun] Univ Paris 11, CNRS, LIMSI, F-91405 Orsay, France; [Simonin, Jerome; Gepner, Daniel] INRIA, LORIA, CNRS, Vandoeuvre Les Nancy, France; [Le Barillier, Florence; Constant, Jacques] Hop Chartres, Chartres, France</t>
  </si>
  <si>
    <t>Sorbonne Universite; Centre National de la Recherche Scientifique (CNRS); Assistance Publique Hopitaux Paris (APHP); Hopital Universitaire Pitie-Salpetriere - APHP; Centre National de la Recherche Scientifique (CNRS); Universite Paris Saclay; Universite de Lorraine; Centre National de la Recherche Scientifique (CNRS); Inria</t>
  </si>
  <si>
    <t>Grynszpan, O (corresponding author), Univ Paris 06, CNRS, USR 3246, Hop La Pitie Salpetriere, Batiment Force,47 Blvd Hop, F-75013 Paris, France.</t>
  </si>
  <si>
    <t>10.1007/s10803-011-1404-9</t>
  </si>
  <si>
    <t>977XG</t>
  </si>
  <si>
    <t>WOS:000306697600012</t>
  </si>
  <si>
    <t>Frolli, A; Savarese, G; Di Carmine, F; Bosco, A; Saviano, E; Rega, A; Carotenuto, M; Ricci, MC</t>
  </si>
  <si>
    <t>Frolli, Alessandro; Savarese, Giulia; Di Carmine, Francesca; Bosco, Antonia; Saviano, Emilio; Rega, Angelo; Carotenuto, Marco; Ricci, Maria Carla</t>
  </si>
  <si>
    <t>Children on the Autism Spectrum and the Use of Virtual Reality for Supporting Social Skills</t>
  </si>
  <si>
    <t>CHILDREN-BASEL</t>
  </si>
  <si>
    <t>level 1 ASD; virtual reality; social skills; emotional training; theory of mind</t>
  </si>
  <si>
    <t>HIGH-FUNCTIONING AUTISM; AUGMENTED REALITY; ADULTS; INTERVENTIONS; ENVIRONMENTS; INSTRUCTION; ADOLESCENTS; DISORDERS; STUDENTS; SYSTEM</t>
  </si>
  <si>
    <t>Background: Autism spectrum disorders (ASDs) are characterized by differences in socio-pragmatic communication. These conditions are allocated within a spectrum of phenotypic variability. Virtual reality (VR) is a useful tool for healthcare intervention and particularly safely advancing social abilities in children with ASD. Methods: In our study two types of intervention for improving social skills were compared: (i) emotional training obtained by the use of virtual reality (Gr1), (ii) traditional emotional training performed individually with a therapist (Gr2). We aimed to identify the intervention with the shortest acquisition time for the proposed social tasks. Results: Our findings show that both types of intervention had the same acquisition time for the recognition of primary emotions. However, for the use of primary and secondary emotions, the group using VR showed shorter acquisition times. Conclusions: These findings together with previous preliminary datasuggest that VR can be a promising, dynamic and effective practice for the support of basic and complex social skills of these individuals.</t>
  </si>
  <si>
    <t>[Frolli, Alessandro; Di Carmine, Francesca; Ricci, Maria Carla] Univ Int Studies Rome, Disabil Res Ctr, Via Cristoforo Colombo 200, I-00147 Rome, Italy; [Savarese, Giulia] Univ Salerno, Dept Med &amp; Surg, I-84084 Salerno, Italy; [Bosco, Antonia; Saviano, Emilio] FINDS Italian Neurosci &amp; Dev Disorders Fdn, I-81040 Caserta, Italy; [Rega, Angelo] Univ Naples Federico II, Dept Humanities, I-80133 Naples, Italy; [Carotenuto, Marco] Univ Campania Luigi Vanvitelli, Dept Mental Hlth Phys &amp; Prevent Med, Clin Child &amp; Adolescent Neuropsychiat, I-80100 Naples, Italy</t>
  </si>
  <si>
    <t>University of Salerno; University of Naples Federico II; Universita della Campania Vanvitelli</t>
  </si>
  <si>
    <t>Frolli, A (corresponding author), Univ Int Studies Rome, Disabil Res Ctr, Via Cristoforo Colombo 200, I-00147 Rome, Italy.</t>
  </si>
  <si>
    <t>alessandro.frolli@unint.eu; gsavarese@unisa.it; f.dicarmine@unint.eu; ant.bosco@hotmail.it; emilio_saviano@live.com; angelo.rega@unina.it; Marco.carotenuto@unicampania.it; m.ricci@unint.eu</t>
  </si>
  <si>
    <t>Frolli, Alessandro/KLE-2823-2024; Rega, Angelo/AAP-7044-2020; Savarese, Giulia/H-4722-2012; Saviano, Emilio/MFH-6758-2025; Carotenuto, Marco/E-2575-2012; REGA, ANGELO/J-8372-2016</t>
  </si>
  <si>
    <t>CAROTENUTO, Marco/0000-0002-8136-7597; REGA, ANGELO/0000-0002-0641-7347; Frolli, Alessandro/0000-0002-2784-2887</t>
  </si>
  <si>
    <t>MDPI AG, Grosspeteranlage 5, CH-4052 BASEL, SWITZERLAND</t>
  </si>
  <si>
    <t>2227-9067</t>
  </si>
  <si>
    <t>Children-Basel</t>
  </si>
  <si>
    <t>10.3390/children9020181</t>
  </si>
  <si>
    <t>Pediatrics</t>
  </si>
  <si>
    <t>ZL1JG</t>
  </si>
  <si>
    <t>WOS:000763436300001</t>
  </si>
  <si>
    <t>Cunningham, A; McPolin, O; Fallis, R; Coyle, C; Best, P; McKenna, G</t>
  </si>
  <si>
    <t>Cunningham, Andrea; McPolin, Orlagh; Fallis, Richard; Coyle, Catherine; Best, Paul; McKenna, Gerald</t>
  </si>
  <si>
    <t>A systematic review of the use of virtual reality or dental smartphone applications as interventions for management of paediatric dental anxiety</t>
  </si>
  <si>
    <t>BMC ORAL HEALTH</t>
  </si>
  <si>
    <t>Virtual reality; Paediatric dentistry; Behavioural management; Pain control; Anxiolysis; Prevention; Autism spectrum disorder</t>
  </si>
  <si>
    <t>EXPOSURE THERAPY; PREOPERATIVE ANXIETY; CHILDREN; ANESTHESIA; ADOLESCENTS; BEHAVIOR</t>
  </si>
  <si>
    <t>Background Virtual reality (VR) has been used successfully in medicine both as a distraction tool during procedures, and as an acclimatisation tool to prepare for a procedure or experience. It has not yet become widely used in dentistry, but could theoretically have a role in exposure-based acclimatisation for dental experiences. Methods To examine the use of VR or bespoke dental smartphone applications pre- or perioperatively in dentistry, to decrease anxiety in a paediatric population attending for dental examination or treatment, compared with children/adolescents who receive no intervention, or more conventional behavioural management techniques. Searches were made of eight electronic databases: the Cochrane Oral Health Group's Trials Register, The Cochrane Central Register of Controlled Trials (CENTRAL), MEDLINE(PubMed), EMBASE, PsycINFO, CINAHL, Scopus and Web of Science. Further searches reference cross-checks were performed to identify studies that were not discovered online. Results Systematic reviews and randomised control trials have demonstrated the successful use of VR to both distract patients perioperatively during medical procedures, and also preoperatively to prepare them for these interventions. However, to date, VR has only been applied to dentistry in a very limited number of studies. Three studies using virtual reality in a dental setting demonstrated decreased pain and anxiety compared with no intervention. All three of these studies were carried out in the perioperative period. A fourth study used a bespoke dental app and imagery to prepare patients with Autism Spectrum Disorder (ASD) for dental treatment, finding statistically significant decreases in both the number of appointments and number of attempts required to carry out a procedure. Conclusion VR is a promising tool which to date has been under-utilised in dentistry. High quality, clinical studies are required to assess the use of preoperative VR and smartphone applications to prepare patients for dental examination and procedures under local or general anaesthetic.</t>
  </si>
  <si>
    <t>[Cunningham, Andrea; McPolin, Orlagh; Coyle, Catherine] Queens Univ Belfast, Ctr Dent, Belfast, Antrim, North Ireland; [Fallis, Richard] Queens Univ Belfast, Med Lib, Belfast, Antrim, North Ireland; [Best, Paul] Queens Univ Belfast, Sch Social Sci Educ &amp; Social Work, Belfast, Antrim, North Ireland; [McKenna, Gerald] Queens Univ Belfast, Royal Victoria Hosp, Ctr Publ Hlth, Inst Clin Sci, Block B, Belfast, Antrim, North Ireland</t>
  </si>
  <si>
    <t>Queens University Belfast; Queens University Belfast; Queens University Belfast; Queens University Belfast</t>
  </si>
  <si>
    <t>McKenna, G (corresponding author), Queens Univ Belfast, Royal Victoria Hosp, Ctr Publ Hlth, Inst Clin Sci, Block B, Belfast, Antrim, North Ireland.</t>
  </si>
  <si>
    <t>g.mckenna@qub.ac.uk</t>
  </si>
  <si>
    <t>Fallis, Richard/W-1006-2018</t>
  </si>
  <si>
    <t>McKenna, Gerald/0000-0001-8478-1673; Best, Paul/0000-0001-6947-8916</t>
  </si>
  <si>
    <t>1472-6831</t>
  </si>
  <si>
    <t>BMC Oral Health</t>
  </si>
  <si>
    <t>MAY 7</t>
  </si>
  <si>
    <t>10.1186/s12903-021-01602-3</t>
  </si>
  <si>
    <t>Dentistry, Oral Surgery &amp; Medicine</t>
  </si>
  <si>
    <t>SK5DX</t>
  </si>
  <si>
    <t>WOS:000656237000003</t>
  </si>
  <si>
    <t>Schmidt, M; Schmidt, C; Glaser, N; Beck, D; Lim, M; Palmer, H</t>
  </si>
  <si>
    <t>Schmidt, Matthew; Schmidt, Carla; Glaser, Noah; Beck, Dennis; Lim, Mark; Palmer, Heath</t>
  </si>
  <si>
    <t>Evaluation of a spherical video-based virtual reality intervention designed to teach adaptive skills for adults with autism: a preliminary report</t>
  </si>
  <si>
    <t>INTERACTIVE LEARNING ENVIRONMENTS</t>
  </si>
  <si>
    <t>Spherical video-based virtual reality; autism; video modeling; adaptive skills; head-mounted displays</t>
  </si>
  <si>
    <t>TECHNOLOGY-BASED INTERVENTIONS; SPECTRUM DISORDER; SOCIAL-SKILLS; INTELLECTUAL DISABILITIES; LEARNING-ENVIRONMENT; CHILDREN; STUDENTS; PEOPLE; ADOLESCENTS; INSTRUCTION</t>
  </si>
  <si>
    <t>Information and communication technologies (ICT) have been widely adopted in the intervention literature for individuals with Autism Spectrum Disorder (ASD). The systematic and predictable nature of ICTs make them particularly attractive for individuals with ASD. One ICT that has potential promise for individuals with ASD is virtual reality (VR). However, to date there is limited evidence of intervention effects for individuals with ASD when delivered via VR. The aim of this study was to extend the literature on the use of VR with individuals with ASD by presenting the design, implementation, and formative evaluation of a spherical video-based virtual reality (SVVR) mobile app. Using Design Based Research methods, we conducted a formative evaluation to investigate the SVVR app from the perspectives of (1) user experience, (2) feasibility, (3) relevance, and (4) usability for adults with ASD. The evaluation was conducted in two phases and consisted of expert review with four content experts and structured usage testing with five adults with ASD. Results indicate that participants with ASD found the SVVR app to be easy to use and reported an overall positive user-experience; results from expert review suggest a feasible, relevant, and easy-to-use intervention. The pedagogical and theoretical footing that informed the design and implementation of the SVVR mobile app for individuals with ASD is presented and discussed.</t>
  </si>
  <si>
    <t>[Schmidt, Matthew; Glaser, Noah; Lim, Mark] Univ Cincinnati, Instruct Design &amp; Technol, Cincinnati, OH 45220 USA; [Schmidt, Carla] Univ Cincinnati, Special Educ, Cincinnati, OH USA; [Beck, Dennis] Univ Arkansas, Dept Curriculum &amp; Instruct, Fayetville, AR USA; [Palmer, Heath] Univ Cincinnati, Elect Engn, Cincinnati, OH USA</t>
  </si>
  <si>
    <t>University System of Ohio; University of Cincinnati; University System of Ohio; University of Cincinnati; University of Arkansas System; University of Arkansas Fayetteville; University System of Ohio; University of Cincinnati</t>
  </si>
  <si>
    <t>Schmidt, M (corresponding author), Univ Cincinnati, Instruct Design &amp; Technol, Cincinnati, OH 45220 USA.</t>
  </si>
  <si>
    <t>matthew.schmidt@uc.edu</t>
  </si>
  <si>
    <t>Glaser, Noah/HNR-3521-2023</t>
  </si>
  <si>
    <t>Schmidt, Matthew/0000-0002-8110-4367; Beck, Dennis/0000-0003-1771-3237; Glaser, Noah/0000-0002-1966-2720</t>
  </si>
  <si>
    <t>1049-4820</t>
  </si>
  <si>
    <t>1744-5191</t>
  </si>
  <si>
    <t>INTERACT LEARN ENVIR</t>
  </si>
  <si>
    <t>Interact. Learn. Environ.</t>
  </si>
  <si>
    <t>APR 3</t>
  </si>
  <si>
    <t>10.1080/10494820.2019.1579236</t>
  </si>
  <si>
    <t>SJ1UZ</t>
  </si>
  <si>
    <t>WOS:000655315200001</t>
  </si>
  <si>
    <t>Barton, EE; Pustejovsky, JE; Maggin, DM; Reichow, B</t>
  </si>
  <si>
    <t>Barton, Erin E.; Pustejovsky, James E.; Maggin, Daniel M.; Reichow, Brian</t>
  </si>
  <si>
    <t>Technology-Aided Instruction and Intervention for Students With ASD: A Meta-Analysis Using Novel Methods of Estimating Effect Sizes for Single-Case Research</t>
  </si>
  <si>
    <t>REMEDIAL AND SPECIAL EDUCATION</t>
  </si>
  <si>
    <t>meta-analysis; single-case design; effect size; technology-aided instruction and intervention</t>
  </si>
  <si>
    <t>AUTISM SPECTRUM DISORDERS; COMPUTER-ASSISTED-INSTRUCTION; ROBUST VARIANCE-ESTIMATION; SPEECH-GENERATING DEVICE; SMALL-SAMPLE ADJUSTMENTS; DIFFERENCE EFFECT SIZE; BASE-LINE DESIGNS; ASPERGER-SYNDROME; DEVELOPMENTAL-DISABILITIES; SOCIAL COMMUNICATION</t>
  </si>
  <si>
    <t>The adoption of methods and strategies validated through rigorous, experimentally oriented research is a core professional value of special education. We conducted a systematic review and meta-analysis examining the experimental literature on Technology-Aided Instruction and Intervention (TAII) using research identified as part of the National Autism Professional Development Project. We applied novel between-case effect size methods to the TAII single-case research base. In addition, we used meta-analytic methodologies to examine the methodological quality of the research, calculate average effect sizes to quantify the level of evidence for TAII, and compare effect sizes across single-case and group-based experimental research. Results identified one category of TAIIcomputer-assisted instructionas an evidence-based practice across both single-case and group studies. The remaining two categories of TAIIaugmentative and alternative communication and virtual realitywere not identified as evidence-based using What Works Clearinghouse summary ratings.</t>
  </si>
  <si>
    <t>[Barton, Erin E.] Vanderbilt Univ, 230 Appleton Pl,Peabody 228, Nashville, TN 37203 USA; [Pustejovsky, James E.] Univ Texas Austin, Austin, TX 78712 USA; [Maggin, Daniel M.] Univ Illinois, Chicago, IL USA; [Reichow, Brian] Univ Florida, Gainesville, FL USA</t>
  </si>
  <si>
    <t>Vanderbilt University; University of Texas System; University of Texas Austin; University of Illinois System; University of Illinois Chicago; University of Illinois Chicago Hospital; State University System of Florida; University of Florida</t>
  </si>
  <si>
    <t>Barton, EE (corresponding author), Vanderbilt Univ, 230 Appleton Pl,Peabody 228, Nashville, TN 37203 USA.</t>
  </si>
  <si>
    <t>erin.e.barton@vanderbilt.edu</t>
  </si>
  <si>
    <t>Reichow, Brian/R-8160-2019</t>
  </si>
  <si>
    <t>Maggin, Daniel M./0000-0001-6018-4866; Reichow, Brian/0000-0001-8305-3105</t>
  </si>
  <si>
    <t>0741-9325</t>
  </si>
  <si>
    <t>1538-4756</t>
  </si>
  <si>
    <t>REM SPEC EDUC</t>
  </si>
  <si>
    <t>Remedial Spec. Educ.</t>
  </si>
  <si>
    <t>NOV-DEC</t>
  </si>
  <si>
    <t>10.1177/0741932517729508</t>
  </si>
  <si>
    <t>Education, Special</t>
  </si>
  <si>
    <t>FM7DU</t>
  </si>
  <si>
    <t>WOS:000415232600004</t>
  </si>
  <si>
    <t>Welch, KC; Lahiri, U; Warren, Z; Sarkar, N</t>
  </si>
  <si>
    <t>Welch, Karla Conn; Lahiri, Uttama; Warren, Zachary; Sarkar, Nilanjan</t>
  </si>
  <si>
    <t>An Approach to the Design of Socially Acceptable Robots for Children with Autism Spectrum Disorders</t>
  </si>
  <si>
    <t>INTERNATIONAL JOURNAL OF SOCIAL ROBOTICS</t>
  </si>
  <si>
    <t>Virtual robots; Identification of emotional expressions; Social interaction; Autism intervention</t>
  </si>
  <si>
    <t>VIRTUAL-REALITY; AFFECT RECOGNITION; PEOPLE; INTERVENTION; DISTANCE; SKILLS</t>
  </si>
  <si>
    <t>Investigation into technology-assisted intervention for children with autism spectrum disorders (ASD) has gained momentum in recent years. Research suggests that robots could be a viable means to impart skills to this population since children with ASD tend to be fascinated by robots. However, if robots are to be used to impart social skills, a primary deficit for this population, considerable attention needs to be paid to aspects of social acceptability of such robots. Currently there are no design guidelines as to how to develop socially acceptable robots to be used for intervention for children with ASD. As a first step, this work investigates social design of virtual robots for children with ASD. In this paper we describe the design of a virtual environment system for social interaction (VESSI). The design is evaluated through an innovative experiment plan that combines subjective ratings from a clinical observer with physiological responses indicative of affective states from the participants, both collected when participants engage in social tasks with the social robots in a virtual reality environment. Two social parameters of importance for this population, namely eye gaze and social distance, are systematically varied to analyze the response of the participants. The results are presented to illustrate how experiments with virtual social robots can contribute towards the development of future social robots for children with ASD.</t>
  </si>
  <si>
    <t>[Welch, Karla Conn] Univ Louisville, Dept Elect &amp; Comp Engn, Louisville, KY 40292 USA; [Lahiri, Uttama; Sarkar, Nilanjan] Vanderbilt Univ, Dept Mech Engn, Nashville, TN 37235 USA; [Warren, Zachary] Vanderbilt Kennedy Ctr, Treatment &amp; Res Inst Autism Spectrum Disorders TR, Dept Pediat, Nashville, TN USA; [Sarkar, Nilanjan] Vanderbilt Univ, Dept Comp Engn, Nashville, TN 37235 USA</t>
  </si>
  <si>
    <t>University of Louisville; Vanderbilt University; Vanderbilt University; Vanderbilt University</t>
  </si>
  <si>
    <t>Welch, KC (corresponding author), Univ Louisville, Dept Elect &amp; Comp Engn, 448 Lutz Hall, Louisville, KY 40292 USA.</t>
  </si>
  <si>
    <t>karla.welch@louisville.edu; uttama.lahiri@vanderbilt.edu; zachary.warren@vanderbilt.edu; nilanjan.sarkar@vanderbilt.edu</t>
  </si>
  <si>
    <t>Welch, Karla/B-3425-2013; Warren, Zachary/KWU-8831-2024</t>
  </si>
  <si>
    <t>Autism Speaks grant</t>
  </si>
  <si>
    <t>The authors gratefully acknowledge the Autism Speaks grant for financial support of this work and Vanderbilt TRIAD for guidance during the development of the experiment protocol. The authors also thank Ann Conn and Kathy Welch for proofing this manuscript, Danny May for assistance in the recruitment of individuals for the voices of the virtual social robots, and the parents and participants who took part in this work.</t>
  </si>
  <si>
    <t>DORDRECHT</t>
  </si>
  <si>
    <t>VAN GODEWIJCKSTRAAT 30, 3311 GZ DORDRECHT, NETHERLANDS</t>
  </si>
  <si>
    <t>1875-4791</t>
  </si>
  <si>
    <t>1875-4805</t>
  </si>
  <si>
    <t>INT J SOC ROBOT</t>
  </si>
  <si>
    <t>Int. J. Soc. Robot.</t>
  </si>
  <si>
    <t>10.1007/s12369-010-0063-x</t>
  </si>
  <si>
    <t>Robotics</t>
  </si>
  <si>
    <t>V31OT</t>
  </si>
  <si>
    <t>WOS:000208893600005</t>
  </si>
  <si>
    <t>Grabowski, K; Rynkiewicz, A; Lassalle, A; Baron-Cohen, S; Schuller, B; Cummins, N; Baird, A; Podgórska-Bednarz, J; Pieniazek, A; Lucka, I</t>
  </si>
  <si>
    <t>Grabowski, Karol; Rynkiewicz, Agnieszka; Lassalle, Amandine; Baron-Cohen, Simon; Schuller, Bjorn; Cummins, Nicholas; Baird, Alice; Podgorska-Bednarz, Justyna; Pieniazek, Agata; Lucka, Izabela</t>
  </si>
  <si>
    <t>Emotional expression in psychiatric conditions: New technology for clinicians</t>
  </si>
  <si>
    <t>PSYCHIATRY AND CLINICAL NEUROSCIENCES</t>
  </si>
  <si>
    <t>affective computing; autism; emotions; expressed emotion; nonverbal communication</t>
  </si>
  <si>
    <t>COMPOUND FACIAL EXPRESSIONS; SOCIAL-SKILLS; CODING SYSTEM; ASPERGER-SYNDROME; RECOGNITION; AUTISM; FACE; ADOLESCENTS; CHILDREN; ADULTS</t>
  </si>
  <si>
    <t>Aim Emotional expressions are one of the most widely studied topics in neuroscience, from both clinical and non-clinical perspectives. Atypical emotional expressions are seen in various psychiatric conditions, including schizophrenia, depression, and autism spectrum conditions. Understanding the basics of emotional expressions and recognition can be crucial for diagnostic and therapeutic procedures. Emotions can be expressed in the face, gesture, posture, voice, and behavior and affect physiological parameters, such as the heart rate or body temperature. With modern technology, clinicians can use a variety of tools ranging from sophisticated laboratory equipment to smartphones and web cameras. The aim of this paper is to review the currently used tools using modern technology and discuss their usefulness as well as possible future directions in emotional expression research and treatment strategies. Methods The authors conducted a literature review in the PubMed, EBSCO, and SCOPUS databases, using the following key words: 'emotions,' 'emotional expression,' 'affective computing,' and 'autism.' The most relevant and up-to-date publications were identified and discussed. Search results were supplemented by the authors' own research in the field of emotional expression. Results We present a critical review of the currently available technical diagnostic and therapeutic methods. The most important studies are summarized in a table. Conclusion Most of the currently available methods have not been adequately validated in clinical settings. They may be a great help in everyday practice; however, they need further testing. Future directions in this field include more virtual-reality-based and interactive interventions, as well as development and improvement of humanoid robots.</t>
  </si>
  <si>
    <t>[Grabowski, Karol] Med Univ Gdansk, Fac Med, Adult Psychiat Clin, Dept Psychiat, Gdansk, Poland; [Rynkiewicz, Agnieszka] Univ Rzeszow, Fac Med, Inst Expt &amp; Clin Med, Neurodev Disorders Res Lab, Rzeszow, Poland; [Rynkiewicz, Agnieszka] Therapy &amp; Educ SPECTRUM ASC MED, Ctr Diag, Gdansk, Poland; [Rynkiewicz, Agnieszka] Therapy &amp; Educ SPECTRUM ASC MED, Ctr Diag, Rzeszow, Poland; [Lassalle, Amandine] Univ Amsterdam, Dept Psychol Brain &amp; Cognit, Amsterdam, Netherlands; [Baron-Cohen, Simon] Univ Cambridge, Dept Psychiat, Autism Res Ctr, Cambridge, England; [Schuller, Bjorn; Cummins, Nicholas] Imperial Coll London, GLAM, Dept Comp, London, England; [Baird, Alice] Univ Augsburg, Embedded Intelligence Hlth Care &amp; Wellbeing, Augsburg, Germany; [Podgorska-Bednarz, Justyna; Pieniazek, Agata] Univ Rzeszow, Fac Med, Inst Physiotherapy, Rzeszow, Poland; [Podgorska-Bednarz, Justyna] Assoc Children Attent Deficit Hyperact Disorder R, Rzeszow, Poland; [Pieniazek, Agata] SOLIS RADIUS Assoc People Disabil &amp; Autism Spectr, Rzeszow, Poland; [Pieniazek, Agata] Med Ctr Children Autism Spectrum Disorders Rzeszo, Rzeszow, Poland; [Lucka, Izabela] Med Univ Gdansk, Fac Med, Dept Psychiat, Dev Psychiat Psychot &amp; Geriatr Disorders Clin, Gdansk, Poland</t>
  </si>
  <si>
    <t>Fahrenheit Universities; Medical University Gdansk; University of Rzeszow; University of Amsterdam; University of Cambridge; Imperial College London; University of Augsburg; University of Rzeszow; Fahrenheit Universities; Medical University Gdansk</t>
  </si>
  <si>
    <t>Grabowski, K (corresponding author), Med Univ Gdansk, Fac Med, Adult Psychiat Clin, Dept Psychiat, Gdansk, Poland.</t>
  </si>
  <si>
    <t>karol.grabowski@gumed.edu.pl</t>
  </si>
  <si>
    <t>Cummins, Nicholas/AAC-6431-2019; Baird, Alice/AAA-5559-2021; Grabowski, Karol/T-9118-2018; Schuller, Björn/D-3241-2011; Rynkiewicz, Agnieszka/U-7280-2019; Baron-Cohen, Simon/JPA-2618-2023</t>
  </si>
  <si>
    <t>Podgorska-Bednarz, Justyna/0000-0002-2057-2351; Cummins, Nicholas/0000-0002-1178-917X; Schuller, Bjorn/0000-0002-6478-8699; Baron-Cohen, Simon/0000-0001-9217-2544; Rynkiewicz, Agnieszka/0000-0002-9175-4937; Lassalle, Amandine/0000-0001-7631-0193; Dias, Debora/0009-0004-6164-5360</t>
  </si>
  <si>
    <t>1323-1316</t>
  </si>
  <si>
    <t>1440-1819</t>
  </si>
  <si>
    <t>PSYCHIAT CLIN NEUROS</t>
  </si>
  <si>
    <t>Psychiatry Clin. Neurosci.</t>
  </si>
  <si>
    <t>10.1111/pcn.12799</t>
  </si>
  <si>
    <t>Clinical Neurology; Neurosciences; Psychiatry</t>
  </si>
  <si>
    <t>Neurosciences &amp; Neurology; Psychiatry</t>
  </si>
  <si>
    <t>HL2ND</t>
  </si>
  <si>
    <t>Bronze, Green Submitted</t>
  </si>
  <si>
    <t>WOS:000458541200002</t>
  </si>
  <si>
    <t>Strickland, DC; McAllister, D; Coles, CD; Osborne, S</t>
  </si>
  <si>
    <t>Strickland, Dorothy C.; McAllister, David; Coles, Claire D.; Osborne, Susan</t>
  </si>
  <si>
    <t>An evolution of virtual reality training designs for children with autism and fetal alcohol spectrum disorders</t>
  </si>
  <si>
    <t>INJURIES; PREVENTION; EXPOSURE; VR</t>
  </si>
  <si>
    <t>This article describes an evolution of training programs to use first-person interaction in virtual reality (VR) situations to teach safety skills to children with autism spectrum disorder (ASD) and fetal alcohol spectrum disorder (FASD). Multiple VR programs for children aged 2 to 9 were built and tested between 1992 and 2007. Based on these results, a learning design evolved that uses practice in virtual space with guidance and correction by an animated character, strategic limitations on allowed actions to force correct patterning, and customization of worlds and responses to simplify user controls. This article describes program evolution by comparing design details and results as variations in behavioral responses between disorders, differences in skill set complexity between different safety skills being taught, and improved technology required changes in the virtual training methodology. A series of research projects are summarized in which the VR programs proved effective for teaching children with ASD and FASD new skills in the virtual space and, where measured, most children generalized the actions to the real world.</t>
  </si>
  <si>
    <t>Do2Learn, Raleigh, NC 27607 USA; N Carolina State Univ, Dept Comp Sci, Raleigh, NC USA; N Carolina State Univ, Dept Educ, Raleigh, NC USA; Emory Univ, Sch Med, Dept Psychiat &amp; Behav Sci, Atlanta, GA USA</t>
  </si>
  <si>
    <t>North Carolina State University; North Carolina State University; Emory University</t>
  </si>
  <si>
    <t>Strickland, DC (corresponding author), Do2Learn, 3204 Churchill Rd, Raleigh, NC 27607 USA.</t>
  </si>
  <si>
    <t>McAllister, David/AIE-6553-2022</t>
  </si>
  <si>
    <t>NIAAA NIH HHS [R44 AA013362-04, R44 AA013362, R43 AA013362] Funding Source: Medline; NICHD NIH HHS [R44 HD035030, R43 HD035030, R44 HD035030-03] Funding Source: Medline</t>
  </si>
  <si>
    <t>NIAAA NIH HHS(United States Department of Health &amp; Human ServicesNational Institutes of Health (NIH) - USANIH National Institute on Alcohol Abuse &amp; Alcoholism (NIAAA)); NICHD NIH HHS(United States Department of Health &amp; Human ServicesNational Institutes of Health (NIH) - USANIH Eunice Kennedy Shriver National Institute of Child Health &amp; Human Development (NICHD))</t>
  </si>
  <si>
    <t>10.1097/01.TLD.0000285357.95426.72</t>
  </si>
  <si>
    <t>WOS:000249044500004</t>
  </si>
  <si>
    <t>Shahab, M; Taheri, A; Mokhtari, M; Shariati, A; Heidari, R; Meghdari, A; Alemi, M</t>
  </si>
  <si>
    <t>Shahab, Mojtaba; Taheri, Alireza; Mokhtari, Mohammad; Shariati, Azadeh; Heidari, Rozita; Meghdari, Ali; Alemi, Minoo</t>
  </si>
  <si>
    <t>Utilizing social virtual reality robot (V2R) for music education to children with high-functioning autism</t>
  </si>
  <si>
    <t>Social virtual reality robots (V2R); Music education; Autism spectrum disorders (ASD); Imitation; Joint attention; Cognitive skills</t>
  </si>
  <si>
    <t>SPECTRUM DISORDER; SKILLS; THERAPY; INTERVENTIONS; ADOLESCENTS; BEHAVIORS; IMPACT</t>
  </si>
  <si>
    <t>Virtual Reality (VR) technology is a growing technology that has been used in various fields of psychology, education, and therapy. One group of potential users of VR are children with autism who need education and have poor social interactions; this technology could help them improve their social skills through real-world simulation. In this study, we evaluated the feasibility of conducting virtual music education programs with automatic assessment system for children with autism at treatment/research centers without the need to purchase a robot, resulting in the possibility of offering schedules on a larger scale and at a lower cost. Intervention sessions were conducted for five children with high-functioning autism ranging in age from 6 to 8 years old during 20 weeks which includes a baseline session, a pre-test, training sessions, a post-test, and a follow-up test. Each music education sessions involved teaching different notes and pieces of music according to the child's cooperation, accuracy, and skill level utilizing virtual reality robots and virtual musical instruments. Actually, by analysis of psychological tests, and questionnaires conducted by a psychologist, we observe slight improvements in cognitive skills because of the ceiling effect. Nevertheless, the effectiveness of the proposed method was proved by conducting statistical analysis on the child's performance data during the music education sessions which were obtained by using both video coding and the proposed automatic assessment system. Consequently, a general upward trend in the musical ability of participants was shown to occur in these sessions, which warrants future studies in this field.</t>
  </si>
  <si>
    <t>[Shahab, Mojtaba; Taheri, Alireza; Mokhtari, Mohammad; Shariati, Azadeh; Heidari, Rozita; Meghdari, Ali; Alemi, Minoo] Sharif Univ Technol, Ctr Excellence Design Robot &amp; Automat CEDRA, Social &amp; Cognit Robot Lab, Tehran, Iran; [Shariati, Azadeh] UCL, Dept Mech Engn, London WC1E 7JE, England; [Heidari, Rozita] Univ Shahid Chamran, Dept Psychol, Ahvaz, Iran; [Alemi, Minoo] Islamic Azad Univ, West Tehran Branch, Tehran, Iran</t>
  </si>
  <si>
    <t>Sharif University of Technology; University of London; University College London; Shahid Chamran University of Ahvaz; Islamic Azad University</t>
  </si>
  <si>
    <t>Taheri, A (corresponding author), Sharif Univ Technol, Ctr Excellence Design Robot &amp; Automat CEDRA, Social &amp; Cognit Robot Lab, Tehran, Iran.</t>
  </si>
  <si>
    <t>m.shahab69@gmail.com; artaheri@sharif.edu; mmokhtari@alumni.ut.ac.ir; a.shariati@ucl.ac.uk; rozita.heidari@ymail.com; meghdari@sharif.edu; alemi@sharif.edu</t>
  </si>
  <si>
    <t>Alemi, Minoo/J-8555-2019; shahab, mojtaba/KMY-2652-2024; shariati, azadeh/AAW-7142-2021; Taheri, Alireza/AAT-6521-2021; Meghdari, Ali/B-3933-2011</t>
  </si>
  <si>
    <t>Taheri, Alireza/0000-0001-5826-260X; Meghdari, Ali/0000-0001-6009-3825</t>
  </si>
  <si>
    <t>Sharif University of Technology [G980517]; Cognitive Sciences and Technology Council (CSTC) of Iran [95p22]</t>
  </si>
  <si>
    <t>Sharif University of Technology(Sharif University of Technology); Cognitive Sciences and Technology Council (CSTC) of Iran</t>
  </si>
  <si>
    <t>This research was funded by Sharif University of Technology (Grant No. G980517) and the Cognitive Sciences and Technology Council (CSTC) of Iran (http://www.cogc.ir/) (Grant No. 95p22).</t>
  </si>
  <si>
    <t>10.1007/s10639-020-10392-0</t>
  </si>
  <si>
    <t>JAN 2021</t>
  </si>
  <si>
    <t>YQ5XA</t>
  </si>
  <si>
    <t>WOS:000604151700001</t>
  </si>
  <si>
    <t>Glaser, N; Schmidt, M</t>
  </si>
  <si>
    <t>Glaser, Noah; Schmidt, Matthew</t>
  </si>
  <si>
    <t>Systematic Literature Review of Virtual Reality Intervention Design Patterns for Individuals with Autism Spectrum Disorders</t>
  </si>
  <si>
    <t>INTERNATIONAL JOURNAL OF HUMAN-COMPUTER INTERACTION</t>
  </si>
  <si>
    <t>SOCIAL-SKILLS; LEARNING-ENVIRONMENT; YOUNG-ADULTS; CHILDREN; ADOLESCENTS; YOUTH; EXPERIENCE; COMPETENCE; EFFICACY; BEHAVIOR</t>
  </si>
  <si>
    <t>The aims of this systematic literature review were to uncover, analyze, and present design characteristics of virtual reality (VR) systems that have been designed as training tools for individuals with autism. Specifically, this review sought to (1) assess points of convergence and divergence in how researchers define VR, (2) extrapolate individual components of VR systems, and (3) systematically extract how design factors are instantiated in these VR projects. A systematic review was conducted to approach these goals that followed the Preferred Reporting Items for Systematic reviews and Meta-Analysis (PRISMA) standards to provide methodological and reporting quality. English language papers published in peer-reviewed academic journals after 1995 were included. Databases searched for this systematic review were Web of Science, PubMed, Scopus, IEEE Xplore, ERIC, and Google Scholar. Searches were conducted in March, 2020. A total of 82 articles was analyzed which were organized by project, resulting in a total of 49 records. Findings from this literature review suggest inconsistencies in how VR is being conceptualized which has implications on how purported benefits of VR technologies may be designed for and greatly impact the possibilities for learner interactions and how benefits can be realized. Open Science Foundation registration:osf.io/5asyg.</t>
  </si>
  <si>
    <t>[Glaser, Noah] Old Dominion Univ, Instruct Design &amp; Technol, Norfolk, VA USA; [Schmidt, Matthew] Univ Florida, Educ Technol Dept, Gainesville, FL USA</t>
  </si>
  <si>
    <t>Old Dominion University; State University System of Florida; University of Florida</t>
  </si>
  <si>
    <t>Glaser, N (corresponding author), Old Dominion Univ, Dept Stem Educ &amp; Profess Studies, 4101-A Educ Bldg, Norfolk, VA 23529 USA.</t>
  </si>
  <si>
    <t>drnoahglaser@gmail.com</t>
  </si>
  <si>
    <t>Schmidt, Matthew/0000-0002-8110-4367; Glaser, Noah/0000-0002-1966-2720</t>
  </si>
  <si>
    <t>1044-7318</t>
  </si>
  <si>
    <t>1532-7590</t>
  </si>
  <si>
    <t>INT J HUM-COMPUT INT</t>
  </si>
  <si>
    <t>Int. J. Hum.-Comput. Interact.</t>
  </si>
  <si>
    <t>MAY 9</t>
  </si>
  <si>
    <t>10.1080/10447318.2021.1970433</t>
  </si>
  <si>
    <t>SEP 2021</t>
  </si>
  <si>
    <t>Computer Science, Cybernetics; Ergonomics</t>
  </si>
  <si>
    <t>Computer Science; Engineering</t>
  </si>
  <si>
    <t>0I6CN</t>
  </si>
  <si>
    <t>WOS:000695985000001</t>
  </si>
  <si>
    <t>Raya, MA; Marín-Morales, J; Minissi, ME; Garcia, GT; Abad, L; Giglioli, IAC</t>
  </si>
  <si>
    <t>Alcaniz Raya, Mariano; Marin-Morales, Javier; Eleonora Minissi, Maria; Teruel Garcia, Gonzalo; Abad, Luis; Chicchi Giglioli, Irene Alice</t>
  </si>
  <si>
    <t>Machine Learning and Virtual Reality on Body Movements' Behaviors to Classify Children with Autism Spectrum Disorder</t>
  </si>
  <si>
    <t>JOURNAL OF CLINICAL MEDICINE</t>
  </si>
  <si>
    <t>autism spectrum disorder; body movements; repetitive behaviors; virtual reality; machine learning</t>
  </si>
  <si>
    <t>REPETITIVE BEHAVIOR; MOTOR STEREOTYPIES; NEUROPSYCHOLOGICAL ASSESSMENT; SENSORY FEATURES; SOCIAL PRESENCE; ENVIRONMENTS; INTERVENTION; ADOLESCENTS; VARIABILITY; SENSITIVITY</t>
  </si>
  <si>
    <t>Autism spectrum disorder (ASD) is mostly diagnosed according to behavioral symptoms in sensory, social, and motor domains. Improper motor functioning, during diagnosis, involves the qualitative evaluation of stereotyped and repetitive behaviors, while quantitative methods that classify body movements' frequencies of children with ASD are less addressed. Recent advances in neuroscience, technology, and data analysis techniques are improving the quantitative and ecological validity methods to measure specific functioning in ASD children. On one side, cutting-edge technologies, such as cameras, sensors, and virtual reality can accurately detect and classify behavioral biomarkers, as body movements in real-life simulations. On the other, machine-learning techniques are showing the potential for identifying and classifying patients' subgroups. Starting from these premises, three real-simulated imitation tasks have been implemented in a virtual reality system whose aim is to investigate if machine-learning methods on movement features and frequency could be useful in discriminating ASD children from children with typical neurodevelopment. In this experiment, 24 children with ASD and 25 children with typical neurodevelopment participated in a multimodal virtual reality experience, and changes in their body movements were tracked by a depth sensor camera during the presentation of visual, auditive, and olfactive stimuli. The main results showed that ASD children presented larger body movements than TD children, and that head, trunk, and feet represent the maximum classification with an accuracy of 82.98%. Regarding stimuli, visual condition showed the highest accuracy (89.36%), followed by the visual-auditive stimuli (74.47%), and visual-auditive-olfactory stimuli (70.21%). Finally, the head showed the most consistent performance along with the stimuli, from 80.85% in visual to 89.36% in visual-auditive-olfactory condition. The findings showed the feasibility of applying machine learning and virtual reality to identify body movements' biomarkers that could contribute to improving ASD diagnosis.</t>
  </si>
  <si>
    <t>[Alcaniz Raya, Mariano; Marin-Morales, Javier; Eleonora Minissi, Maria; Teruel Garcia, Gonzalo; Chicchi Giglioli, Irene Alice] Univ Politecn Valencia, Inst Invest &amp; Innovac Bioingn I3B, Valencia 46022, Spain; [Abad, Luis] Red Cenit, Ctr Desarrollo Cognit, Valencia 46020, Spain</t>
  </si>
  <si>
    <t>Giglioli, IAC (corresponding author), Univ Politecn Valencia, Inst Invest &amp; Innovac Bioingn I3B, Valencia 46022, Spain.</t>
  </si>
  <si>
    <t>malcaniz@i3b.upv.es; jamarmo@i3b.upv.es; meminiss@upvnet.upv.es; gonzaloteruelg@gmail.com; lam@redcenit.com; alicechicchi@i3b.upv.es</t>
  </si>
  <si>
    <t>Alcañiz, Mariano/CAG-6569-2022; Marin-Morales, Javier/AAL-1463-2020; Alcaniz, Mariano/I-9659-2016</t>
  </si>
  <si>
    <t>Chicchi Giglioli, Irene Alice/0000-0003-2577-0039; Marin-Morales, Javier/0000-0003-1271-2892; Alcaniz, Mariano/0000-0001-9207-0636</t>
  </si>
  <si>
    <t>Spanish Ministry of Economy, Industry, and Competitiveness [IDI-20170912]; Generalitat Valenciana [PROMETEO/2019/105]; European Union through the Operational Program of the European Regional development Fund (ERDF) of the Valencian Community 2014-2020 [IDIFEDER/2018/029]</t>
  </si>
  <si>
    <t>Spanish Ministry of Economy, Industry, and Competitiveness(Spanish Government); Generalitat Valenciana(Center for Forestry Research &amp; Experimentation (CIEF)); European Union through the Operational Program of the European Regional development Fund (ERDF) of the Valencian Community 2014-2020(European Union (EU))</t>
  </si>
  <si>
    <t>This work was supported by the Spanish Ministry of Economy, Industry, and Competitiveness funded project Immersive virtual environment for the evaluation and training of children with autism spectrum disorder: T Room (IDI-20170912) and by the Generalitat Valenciana funded project REBRAND (PROMETEO/2019/105). Furthermore, this work was co-founded by the European Union through the Operational Program of the European Regional development Fund (ERDF) of the Valencian Community 2014-2020 (IDIFEDER/2018/029).</t>
  </si>
  <si>
    <t>2077-0383</t>
  </si>
  <si>
    <t>J CLIN MED</t>
  </si>
  <si>
    <t>J. Clin. Med.</t>
  </si>
  <si>
    <t>10.3390/jcm9051260</t>
  </si>
  <si>
    <t>Medicine, General &amp; Internal</t>
  </si>
  <si>
    <t>General &amp; Internal Medicine</t>
  </si>
  <si>
    <t>LY0OO</t>
  </si>
  <si>
    <t>WOS:000540223800017</t>
  </si>
  <si>
    <t>Tsai, WT; Lee, IJ; Chen, CH</t>
  </si>
  <si>
    <t>Tsai, Wei-Te; Lee, I-Jui; Chen, Chien-Hsu</t>
  </si>
  <si>
    <t>Inclusion of third-person perspective in CAVE-like immersive 3D virtual reality role-playing games for social reciprocity training of children with an autism spectrum disorder</t>
  </si>
  <si>
    <t>UNIVERSAL ACCESS IN THE INFORMATION SOCIETY</t>
  </si>
  <si>
    <t>CAVE-like immersive environments; Autism; Third-person perspective; Virtual Reality CAVE; Role-playing game; Human-computer interaction; Empathy</t>
  </si>
  <si>
    <t>VIDEO; SKILLS; ADOLESCENTS; ENVIRONMENTS; JUDGMENTS; STUDENTS; IMPROVE</t>
  </si>
  <si>
    <t>The present study aimed to improve the ability of children with autism to recognize emotions correctly. We used our third-person perspective role-playing game (TPP-RPG) method to teach social skills and help develop an improved understanding of the six basic emotions. The experiment was divided into two phases: The first involved working with traditional figure card emotional recognition and the second involved a subject entering a 3D cave automatic virtual environment (CAVE) to engage with interactive games. While the traditional graphic card is a static picture that represents one of the six basic human emotions, the virtual reality of CAVE-like immersive 3D role-playing games enables the use of actual picture scene syntheses plus the animation of 3D characters to express emotions. The participating children were instructed to role-play with (1) three-dimensional (3D) virtual role animations and observe (2) two different real-time switchable role-play animations of themselves and their counterpart socially interacting. This single-subject study was based on multiple-baseline, across-subject design and involved 5 weeks of TPP-RPG training intervention. From this research activity, we found that the role-play performance of all three participants rose substantially during the intervention phase and remained significantly higher in the maintenance phase compared to their baseline levels.</t>
  </si>
  <si>
    <t>[Tsai, Wei-Te; Chen, Chien-Hsu] Natl Cheng Kung Univ, Dept Ind Design, Ergon &amp; Interact Design Lab, 1 Univ Rd, Tainan, Taiwan; [Lee, I-Jui] Natl Taipei Univ Technol, Dept Ind Design, Ergon Design &amp; Technol Lab, 1,Sec 3,Zhongxiao E Rd, Taipei 10608, Taiwan</t>
  </si>
  <si>
    <t>National Cheng Kung University; National Taipei University of Technology</t>
  </si>
  <si>
    <t>Lee, IJ (corresponding author), Natl Taipei Univ Technol, Dept Ind Design, Ergon Design &amp; Technol Lab, 1,Sec 3,Zhongxiao E Rd, Taipei 10608, Taiwan.</t>
  </si>
  <si>
    <t>p38021067@mail.ncku.edu.tw; ericlee@mail.ntut.edu.tw; chenhsu@mail.ncku.edu.tw</t>
  </si>
  <si>
    <t>shi, chen/KEH-8339-2024</t>
  </si>
  <si>
    <t>Chen, Chien-Hsu/0000-0002-1046-949X; LEE, I JUI/0000-0002-9103-0955</t>
  </si>
  <si>
    <t>Ministry of Science and Technology of Taiwan [MOST 107-2218-E-027 -013 -MY2]</t>
  </si>
  <si>
    <t>Ministry of Science and Technology of Taiwan(Ministry of Science and Technology, Taiwan)</t>
  </si>
  <si>
    <t>This work is supported by the Ministry of Science and Technology of Taiwan (MOST 107-2218-E-027 -013 -MY2). The authors thank the referees very much for their valuable comments and suggestions on this paper.</t>
  </si>
  <si>
    <t>SPRINGER HEIDELBERG</t>
  </si>
  <si>
    <t>HEIDELBERG</t>
  </si>
  <si>
    <t>TIERGARTENSTRASSE 17, D-69121 HEIDELBERG, GERMANY</t>
  </si>
  <si>
    <t>1615-5289</t>
  </si>
  <si>
    <t>1615-5297</t>
  </si>
  <si>
    <t>UNIVERSAL ACCESS INF</t>
  </si>
  <si>
    <t>Univers. Access Inf. Soc.</t>
  </si>
  <si>
    <t>10.1007/s10209-020-00724-9</t>
  </si>
  <si>
    <t>JUN 2020</t>
  </si>
  <si>
    <t>SH5NX</t>
  </si>
  <si>
    <t>WOS:000537348700001</t>
  </si>
  <si>
    <t>Saadatzi, MN; Pennington, RC; Welch, KC; Graham, JH</t>
  </si>
  <si>
    <t>Saadatzi, Mohammad Nasser; Pennington, Robert C.; Welch, Karla C.; Graham, James H.</t>
  </si>
  <si>
    <t>Small-Group Technology-Assisted Instruction: Virtual Teacher and Robot Peer for Individuals with Autism Spectrum Disorder</t>
  </si>
  <si>
    <t>Autism spectrum disorder; Virtual reality and pedagogical agents; Social robotics; Small-group instruction; Observational learning; Sight word instruction</t>
  </si>
  <si>
    <t>SMART BOARD TECHNOLOGY; ONE-TO-ONE; JOINT ATTENTION; SOCIAL-SKILLS; YOUNG-ADULTS; CHILDREN; REALITY; STUDENTS; ENVIRONMENTS; RECOGNITION</t>
  </si>
  <si>
    <t>The authors combined virtual reality technology and social robotics to develop a tutoring system that resembled a small-group arrangement. This tutoring system featured a virtual teacher instructing sight words, and included a humanoid robot emulating a peer. The authors used a multiple-probe design across word sets to evaluate the effects of the instructional package on the explicit acquisition and vicarious learning of sight words instructed to three children with autism spectrum disorder (ASD) and the robot peer. Results indicated that participants acquired, maintained, and generalized 100% of the words explicitly instructed to them, made fewer errors while learning the words common between them and the robot peer, and vicariously learned 94% of the words solely instructed to the robot.</t>
  </si>
  <si>
    <t>[Saadatzi, Mohammad Nasser; Welch, Karla C.; Graham, James H.] Univ Louisville, Dept Elect &amp; Comp Engn, Louisville, KY 40292 USA; [Pennington, Robert C.] Univ N Carolina, Dept Special Educ &amp; Child Dev, Charlotte, NC 28223 USA</t>
  </si>
  <si>
    <t>University of Louisville; University of North Carolina; University of North Carolina Charlotte</t>
  </si>
  <si>
    <t>Saadatzi, MN (corresponding author), Univ Louisville, Dept Elect &amp; Comp Engn, Louisville, KY 40292 USA.</t>
  </si>
  <si>
    <t>mn.saadatzi@louisville.edu; robert.pennington@uncc.edu; karla.welch@louisville.edu; james.graham@louisville.edu</t>
  </si>
  <si>
    <t>Welch, Karla/B-3425-2013</t>
  </si>
  <si>
    <t>National Science Foundation [BRIGE-1228027]</t>
  </si>
  <si>
    <t>National Science Foundation(National Science Foundation (NSF))</t>
  </si>
  <si>
    <t>This work was supported in part by the National Science Foundation under Grant BRIGE-1228027. This study is based on a doctoral dissertation by Mohammad Nasser Saadatzi at the Department of Electrical and Computer Engineering, University of Louisville.</t>
  </si>
  <si>
    <t>10.1007/s10803-018-3654-2</t>
  </si>
  <si>
    <t>GW8TH</t>
  </si>
  <si>
    <t>WOS:000447253300018</t>
  </si>
  <si>
    <t>Kuriakose, S; Lahiri, U</t>
  </si>
  <si>
    <t>Kuriakose, Selvia; Lahiri, Uttama</t>
  </si>
  <si>
    <t>Understanding the Psycho-Physiological Implications of Interaction With a Virtual Reality-Based System in Adolescents With Autism: A Feasibility Study</t>
  </si>
  <si>
    <t>Anxiety; autism; physiology; virtual reality (VR)</t>
  </si>
  <si>
    <t>CHILDREN; RECOGNITION; TECHNOLOGY; PHYSIOLOGY; DESIGN</t>
  </si>
  <si>
    <t>Individuals with Autism are characterized by deficits in socialization and communication. In recent years several assistive technologies, e.g., Virtual Reality (VR), have been investigated to address the socialization deficits in these individuals. Presently available VR-based systems address various aspects of social communication in an isolated manner and without monitoring one's affective state such as, anxiety. However, in conventional observation-based therapy, a therapist adjusts the intervention paradigm by monitoring one's anxiety level. But, often these individuals have an inherent inability to explicitly express their anxiety thereby inducing limitations on conventional techniques. Physiological signals being continuously available and not directly impacted by these communication difficulties can be alternatively used as markers of one's anxiety level. In our research we aim at designing a Virtual-reality bAsed Social-communication Task (VAST) system that can address the various aspects of social communication, e.g., social context, subtle social cues, emotional expression, etc., in a cumulative and structured way. In addition, we augment this with a capability to use one's physiological signals as markers of one's anxiety level. In our preliminary feasibility study we investigate the potential of VAST to cause variations in one's performance and anxiety level that can be mapped from one's physiological indices.</t>
  </si>
  <si>
    <t>[Kuriakose, Selvia; Lahiri, Uttama] Indian Inst Technol, Dept Elect Engn, Gandhinagar, India</t>
  </si>
  <si>
    <t>Indian Institute of Technology System (IIT System); Indian Institute of Technology (IIT) - Gandhinagar</t>
  </si>
  <si>
    <t>Kuriakose, S (corresponding author), Indian Inst Technol, Dept Elect Engn, Gandhinagar, India.</t>
  </si>
  <si>
    <t>kuriakose_selvia@iitgn.ac.in; uttamalahiri@iitgn.ac.in</t>
  </si>
  <si>
    <t>Kuriakose, Dr. Selvia/X-6419-2018</t>
  </si>
  <si>
    <t>Kuriakose, Selvia/0000-0002-1956-9884</t>
  </si>
  <si>
    <t>Indian Institute of Technology, Gandhinagar, India</t>
  </si>
  <si>
    <t>This work was supported by internal funding from the Indian Institute of Technology, Gandhinagar, India.</t>
  </si>
  <si>
    <t>10.1109/TNSRE.2015.2393891</t>
  </si>
  <si>
    <t>CM3PZ</t>
  </si>
  <si>
    <t>WOS:000357596500015</t>
  </si>
  <si>
    <t>Greffou, S; Bertone, A; Hahler, EM; Hanssens, JM; Mottron, L; Faubert, J</t>
  </si>
  <si>
    <t>Greffou, Selma; Bertone, Armando; Hahler, Eva-Maria; Hanssens, Jean-Marie; Mottron, Laurent; Faubert, Jocelyn</t>
  </si>
  <si>
    <t>Postural Hypo-Reactivity in Autism is Contingent on Development and Visual Environment: A Fully Immersive Virtual Reality Study</t>
  </si>
  <si>
    <t>Autism; Posture; Development; Sensorimotor; Virtual reality; Motion perception</t>
  </si>
  <si>
    <t>CHILDREN; SPECTRUM; MOTION; PERCEPTION; INDIVIDUALS; DYSFUNCTION; IMPAIRMENT; BEHAVIOR; DEFICITS; BALANCE</t>
  </si>
  <si>
    <t>Although atypical motor behaviors have been associated with autism, investigations regarding their possible origins are scarce. This study assessed the visual and vestibular components involved in atypical postural reactivity in autism. Postural reactivity and stability were measured for younger (12-15 years) and older (16-33 years) autistic participants in response to a virtual tunnel oscillating at different frequencies. At the highest oscillation frequency, younger autistic participants showed significantly less instability compared to younger typically-developing participants; no such group differences were evidenced for older participants. Additionally, no significant differences in postural behavior were found between all 4 groups when presented with static or without visual information. Results confirm that postural hypo-reactivity to visual information is present in autism, but is contingent on both visual environment and development.</t>
  </si>
  <si>
    <t>[Greffou, Selma; Hahler, Eva-Maria; Hanssens, Jean-Marie; Faubert, Jocelyn] Univ Montreal, Sch Optometry, Visual Psychophys &amp; Percept Lab, Montreal, PQ H3T 1P1, Canada; [Bertone, Armando] Perceptual Neurosci Lab Autism &amp; Dev, Montreal, PQ, Canada; [Bertone, Armando; Mottron, Laurent] Univ Montreal, Dept Psychiat, Montreal, PQ H3T 1P1, Canada; [Bertone, Armando; Mottron, Laurent] Univ Montreal, Ctr Excellence Pervas Dev Disorders, Montreal, PQ H3T 1P1, Canada</t>
  </si>
  <si>
    <t>Universite de Montreal; Universite de Montreal; Universite de Montreal</t>
  </si>
  <si>
    <t>Faubert, J (corresponding author), Univ Montreal, Sch Optometry, Visual Psychophys &amp; Percept Lab, 3744 Jean Brillant St, Montreal, PQ H3T 1P1, Canada.</t>
  </si>
  <si>
    <t>jocelyn.faubert@umontreal.ca</t>
  </si>
  <si>
    <t>Faubert, Jocelyn/E-2207-2011</t>
  </si>
  <si>
    <t>Mottron, Laurent/0000-0001-5668-5422</t>
  </si>
  <si>
    <t>10.1007/s10803-011-1326-6</t>
  </si>
  <si>
    <t>949YA</t>
  </si>
  <si>
    <t>WOS:000304613000008</t>
  </si>
  <si>
    <t>Smith, MJ; Sherwood, K; Ross, B; Smith, JD; DaWalt, L; Bishop, L; Humm, L; Elkins, J; Steacy, C</t>
  </si>
  <si>
    <t>Smith, Matthew J.; Sherwood, Kari; Ross, Brittany; Smith, Justin D.; DaWalt, Leann; Bishop, Lauren; Humm, Laura; Elkins, Jeff; Steacy, Chris</t>
  </si>
  <si>
    <t>Virtual interview training for autistic transition age youth: A randomized controlled feasibility and effectiveness trial</t>
  </si>
  <si>
    <t>feasibility trial; job interview anxiety; job interview skill; randomized controlled effectiveness trial; virtual interview training</t>
  </si>
  <si>
    <t>DEVELOPMENTAL-DISABILITIES; SPECTRUM DISORDERS; MAXIMUM-LIKELIHOOD; 6-MONTH EMPLOYMENT; JOB OFFERS; REALITY; OUTCOMES; ADULTS; INDIVIDUALS; ANXIETY</t>
  </si>
  <si>
    <t>Autistic transition age youth struggle with obtaining employment, and interviewing is a critical barrier to getting a job. We adapted an efficacious virtual reality job interview intervention to meet the needs of autistic transition age youth, called the Virtual Interview Training for Transition Age Youth. This study evaluated whether Virtual Interview Training for Transition Age Youth can be feasibly delivered in high school special education settings and whether Virtual Interview Training for Transition Age Youth improves job interview skills, job interview self-efficacy, job interview anxiety, and access to employment. Forty-eight autistic transition age youth received school-based pre-employment services as usual with Virtual Interview Training for Transition Age Youth, while 23 autistic transition age youth received services as usual only. Local teachers trained and supervised autistic transition age youth using Virtual Interview Training for Transition Age Youth. Participants reported Virtual Interview Training for Transition Age Youth was highly acceptable. Participants receiving services as usual and Virtual Interview Training for Transition Age Youth, compared to participants receiving services as usual only, had better job interview skills and lower job interview anxiety as well as greater access to jobs. Overall, Virtual Interview Training for Transition Age Youth appears to be effective at teaching job interview skills that are associated with accessing competitive jobs. Moreover, youth enjoyed Virtual Interview Training for Transition Age Youth and teachers feasibly implemented the tool within special education pre-employment transition services. Future research needs to better understand how autistic transition age youth from culturally diverse backgrounds and different social, behavioral, or mental health challenges may respond to Virtual Interview Training for Transition Age Youth. Lay abstract Autistic transition age youth struggle with obtaining employment, and interviewing is a critical barrier to getting a job. We adapted an efficacious virtual reality job interview intervention to meet the needs of autistic transition age youth, called the Virtual Interview Training for Transition Age Youth. This study evaluated whether Virtual Interview Training for Transition Age Youth can be feasibly delivered in high school special education settings and whether Virtual Interview Training for Transition Age Youth improves job interview skills, job interview self-efficacy, job interview anxiety, and access to employment. Forty-eight autistic transition age youth received school-based pre-employment services as usual with Virtual Interview Training for Transition Age Youth, while 23 autistic transition age youth received services as usual only. Local teachers trained and supervised autistic transition age youth using Virtual Interview Training for Transition Age Youth. Participants reported Virtual Interview Training for Transition Age Youth was highly acceptable. Participants receiving services as usual and Virtual Interview Training for Transition Age Youth, compared to participants receiving services as usual only, had better job interview skills and lower job interview anxiety as well as greater access to jobs. Overall, Virtual Interview Training for Transition Age Youth appears to be effective at teaching job interview skills that are associated with accessing competitive jobs. Moreover, youth enjoyed Virtual Interview Training for Transition Age Youth and teachers feasibly implemented the tool within special education pre-employment transition services. Future research needs to better understand how autistic transition age youth from culturally diverse backgrounds and different social, behavioral, or mental health challenges may respond to Virtual Interview Training for Transition Age Youth.</t>
  </si>
  <si>
    <t>[Smith, Matthew J.; Sherwood, Kari; Ross, Brittany] Univ Michigan, Ann Arbor, MI 48109 USA; [Smith, Justin D.] Northwestern Univ, Evanston, IL 60208 USA; [DaWalt, Leann; Bishop, Lauren] Univ Wisconsin, Madison, WI 53706 USA; [Humm, Laura; Elkins, Jeff; Steacy, Chris] SIMmersion LLC, Columbia, MD USA</t>
  </si>
  <si>
    <t>University of Michigan System; University of Michigan; Northwestern University; University of Wisconsin System; University of Wisconsin Madison</t>
  </si>
  <si>
    <t>Smith, MJ (corresponding author), Univ Michigan, Sch Social Work, 1080 South Univ Ave, Ann Arbor, MI 48109 USA.</t>
  </si>
  <si>
    <t>mattjsmi@umich.edu</t>
  </si>
  <si>
    <t>Smith, Matthew/ACM-2138-2022; Bishop, Lauren/AGD-8686-2022; Sherwood, Kari/KWU-1492-2024</t>
  </si>
  <si>
    <t>Sherwood, Kari/0000-0003-2157-2174; Bishop, Lauren/0000-0003-1269-4129; Smith, Matthew/0000-0002-0079-1477; Humm, Laura/0000-0002-9642-1453; DAWALT, LEANN/0000-0002-0376-4095</t>
  </si>
  <si>
    <t>National Institute of Mental Health [R34 MH111531]</t>
  </si>
  <si>
    <t>National Institute of Mental Health(United States Department of Health &amp; Human ServicesNational Institutes of Health (NIH) - USANIH National Institute of Mental Health (NIMH))</t>
  </si>
  <si>
    <t>The author(s) disclosed receipt of the following financial support for the research, authorship and/or publication of this article: This study was funded by the National Institute of Mental Health (R34 MH111531; Principal Investigator: Dr. Matthew J. Smith, PhD).</t>
  </si>
  <si>
    <t>10.1177/1362361321989928</t>
  </si>
  <si>
    <t>FEB 2021</t>
  </si>
  <si>
    <t>TS1EC</t>
  </si>
  <si>
    <t>WOS:000627533000001</t>
  </si>
  <si>
    <t>Raya, MA; Giglioli, IAC; Marín-Morales, J; Higuera-Trujillo, JL; Olmos, E; Minissi, ME; Garcia, GT; Sirera, M; Abad, L</t>
  </si>
  <si>
    <t>Raya, Mariano Alcaniz; Giglioli, Irene Alice Chicchi; Marin-Morales, Javier; Higuera-Trujillo, Juan L.; Olmos, Elena; Minissi, Maria E.; Garcia, Gonzalo Teruel; Sirera, Marian; Abad, Luis</t>
  </si>
  <si>
    <t>Application of Supervised Machine Learning for Behavioral Biomarkers of Autism Spectrum Disorder Based on Electrodermal Activity and Virtual Reality</t>
  </si>
  <si>
    <t>FRONTIERS IN HUMAN NEUROSCIENCE</t>
  </si>
  <si>
    <t>autism spectrum disorder; sensory dysfunction; virtual reality; electrodermal activity; assessment</t>
  </si>
  <si>
    <t>AUTONOMIC RESPONSES; SKIN-CONDUCTANCE; CHILDREN; ADULTS; REACTIVITY; COMMUNICATION; RECOGNITION; ADOLESCENTS; VARIABILITY; ENVIRONMENT</t>
  </si>
  <si>
    <t>Objective Sensory processing is the ability to capture, elaborate, and integrate information through the five senses and is impaired in over 90% of children with autism spectrum disorder (ASD). The ASD population shows hyper-hypo sensitiveness to sensory stimuli that can generate alteration in information processing, affecting cognitive and social responses to daily life situations. Structured and semi-structured interviews are generally used for ASD assessment, and the evaluation relies on the examiner's subjectivity and expertise, which can lead to misleading outcomes. Recently, there has been a growing need for more objective, reliable, and valid diagnostic measures, such as biomarkers, to distinguish typical from atypical functioning and to reliably track the progression of the illness, helping to diagnose ASD. Implicit measures and ecological valid settings have been showing high accuracy on predicting outcomes and correctly classifying populations in categories. Methods Two experiments investigated whether sensory processing can discriminate between ASD and typical development (TD) populations using electrodermal activity (EDA) in two multimodal virtual environments (VE): forest VE and city VE. In the first experiment, 24 children with ASD diagnosis and 30 TDs participated in both virtual experiences, and changes in EDA have been recorded before and during the presentation of visual, auditive, and olfactive stimuli. In the second experiment, 40 children have been added to test the model of experiment 1. Results The first exploratory results on EDA comparison models showed that the integration of visual, auditive, and olfactive stimuli in the forest environment provided higher accuracy (90.3%) on sensory dysfunction discrimination than specific stimuli. In the second experiment, 92 subjects experienced the forest VE, and results on 72 subjects showed that stimuli integration achieved an accuracy of 83.33%. The final confirmatory test set (n = 20) achieved 85% accuracy, simulating a real application of the models. Further relevant result concerns the visual stimuli condition in the first experiment, which achieved 84.6% of accuracy in recognizing ASD sensory dysfunction. Conclusion According to our studies' results, implicit measures, such as EDA, and ecological valid settings can represent valid quantitative methods, along with traditional assessment measures, to classify ASD population, enhancing knowledge on the development of relevant specific treatments.</t>
  </si>
  <si>
    <t>[Raya, Mariano Alcaniz; Giglioli, Irene Alice Chicchi; Marin-Morales, Javier; Higuera-Trujillo, Juan L.; Olmos, Elena; Minissi, Maria E.; Garcia, Gonzalo Teruel] Univ Politecn Valencia, Inst Invest &amp; Innovac Bioingn, Valencia, Spain; [Sirera, Marian; Abad, Luis] Ctr Desarrollo Cognit, Red Cenit, Valencia, Spain</t>
  </si>
  <si>
    <t>Raya, MA (corresponding author), Univ Politecn Valencia, Inst Invest &amp; Innovac Bioingn, Valencia, Spain.</t>
  </si>
  <si>
    <t>malcaniz@i3b.upv.es</t>
  </si>
  <si>
    <t>Alcañiz, Mariano/CAG-6569-2022; Higuera-Trujillo, Juan/AAV-6908-2021; Raya, Elena/HPE-4478-2023; Alcaniz, Mariano/I-9659-2016; Marin-Morales, Javier/AAL-1463-2020</t>
  </si>
  <si>
    <t>Olmos-Raya, Elena/0000-0001-9508-4531; Alcaniz, Mariano/0000-0001-9207-0636; Marin-Morales, Javier/0000-0003-1271-2892</t>
  </si>
  <si>
    <t>Spanish Ministry of Economy, Industry, and Competitiveness [IDI-20170912]; Generalitat Valenciana [PROMETEU/2019/105]</t>
  </si>
  <si>
    <t>Spanish Ministry of Economy, Industry, and Competitiveness(Spanish Government); Generalitat Valenciana(Center for Forestry Research &amp; Experimentation (CIEF))</t>
  </si>
  <si>
    <t>This work was supported by the Spanish Ministry of Economy, Industry, and Competitiveness-funded project Immersive Virtual Environment for the Evaluation and Training of Children with Autism Spectrum Disorder: T Room (IDI-20170912) and by the Generalitat Valenciana-funded project REBRAND (PROMETEU/2019/105).</t>
  </si>
  <si>
    <t>1662-5161</t>
  </si>
  <si>
    <t>FRONT HUM NEUROSCI</t>
  </si>
  <si>
    <t>Front. Hum. Neurosci.</t>
  </si>
  <si>
    <t>10.3389/fnhum.2020.00090</t>
  </si>
  <si>
    <t>Neurosciences; Psychology</t>
  </si>
  <si>
    <t>Neurosciences &amp; Neurology; Psychology</t>
  </si>
  <si>
    <t>LH6TB</t>
  </si>
  <si>
    <t>WOS:000528916700001</t>
  </si>
  <si>
    <t>Yang, YJD; Allen, T; Abdullahi, SM; Pelphrey, KA; Volkmar, FR; Chapman, SB</t>
  </si>
  <si>
    <t>Yang, Y. J. Daniel; Allen, Tandra; Abdullahi, Sebiha M.; Pelphrey, Kevin A.; Volkmar, Fred R.; Chapman, Sandra B.</t>
  </si>
  <si>
    <t>Brain responses to biological motion predict treatment outcome in young adults with autism receiving Virtual Reality Social Cognition Training: Preliminary findings</t>
  </si>
  <si>
    <t>BEHAVIOUR RESEARCH AND THERAPY</t>
  </si>
  <si>
    <t>Virtual reality; Emotion recognition; Theory of mind; Autism; Predictive biomarker; Biological motion; fMRI; Intervention</t>
  </si>
  <si>
    <t>DIAGNOSTIC OBSERVATION SCHEDULE; ANXIETY DISORDER; NEURAL-NETWORKS; SPECTRUM; PERCEPTION; CHILDREN; EMOTION; ADOLESCENTS; THERAPY; SKILLS</t>
  </si>
  <si>
    <t>Autism Spectrum Disorder (ASD) is characterized by remarkable heterogeneity in social, communication, and behavioral deficits, creating a major barrier in identifying effective treatments for a given individual with ASD. To facilitate precision medicine in ASD, we utilized a well-validated biological motion neuroimaging task to identify pretreatment biomarkers that can accurately forecast the response to an evidence-based behavioral treatment, Virtual Reality-Social Cognition Training (VR-SCT). In a preliminary sample of 17 young adults with high-functioning ASD, we identified neural predictors of change in emotion recognition after VR-SCT. The predictors were characterized by the pretreatment brain activations to biological vs. scrambled motion in the neural circuits that support (a) language comprehension and interpretation of incongruent auditory emotions and prosody, and (b) processing socio-emotional experience and interpersonal affective information, as well as emotional regulation. The predictive value of the findings for individual adults with ASD was supported by regression-based multivariate pattern analyses with cross validation. To our knowledge, this is the first pilot study that shows neuroimaging-based predictive biomarkers for treatment effectiveness in adults with ASD. The findings have potentially far-reaching implications for developing more precise and effective treatments for ASD. (C) 2017 The Authors. Published by Elsevier Ltd.</t>
  </si>
  <si>
    <t>[Yang, Y. J. Daniel; Pelphrey, Kevin A.] George Washington Unib, Autism &amp; Neurodev Disorders Inst, 23001 St NW, Washington, DC 20052 USA; [Yang, Y. J. Daniel; Pelphrey, Kevin A.] Childrens Natl Hlth Syst, 23001 St NW, Washington, DC 20052 USA; [Yang, Y. J. Daniel; Abdullahi, Sebiha M.; Volkmar, Fred R.] Yale Univ, Ctr Child Study, Sch Med, New Haven, CT 06520 USA; [Allen, Tandra; Chapman, Sandra B.] Univ Texas Dallas, Ctr Brain Hlth, Dallas, TX 75235 USA</t>
  </si>
  <si>
    <t>Children's National Health System; Yale University; University of Texas System; University of Texas Dallas</t>
  </si>
  <si>
    <t>Yang, YJD (corresponding author), George Washington Unib, Autism &amp; Neurodev Disorders Inst, 23001 St NW, Washington, DC 20052 USA.;Yang, YJD (corresponding author), Childrens Natl Hlth Syst, 23001 St NW, Washington, DC 20052 USA.</t>
  </si>
  <si>
    <t>danielyang@gwu.edu</t>
  </si>
  <si>
    <t>Volkmar, Fred/AEB-0666-2022</t>
  </si>
  <si>
    <t>Yang, Yung-Jui/0000-0002-3487-8730</t>
  </si>
  <si>
    <t>Harris Professorship at Yale Child Study Center; Autism Speaks Meixner Postdoctoral Fellowship in Translational Research [9284]; Yale University Biomedical High Performance Computing Center (NIH) [RR19895, RR029676-01]; Rees Jones Foundation; Vin and Caren Prothro Foundation; Crystal Charity Ball; BrainHealth's research</t>
  </si>
  <si>
    <t>Harris Professorship at Yale Child Study Center; Autism Speaks Meixner Postdoctoral Fellowship in Translational Research; Yale University Biomedical High Performance Computing Center (NIH)(United States Department of Health &amp; Human ServicesNational Institutes of Health (NIH) - USA); Rees Jones Foundation; Vin and Caren Prothro Foundation; Crystal Charity Ball; BrainHealth's research</t>
  </si>
  <si>
    <t>We thank the participants and their families included in this study for their time and participation and the research assistants in our research centers, making this research possible. This work was supported by the Harris Professorship at Yale Child Study Center to KAP, Autism Speaks Meixner Postdoctoral Fellowship in Translational Research (#9284) to DY, a gift from the Autism Society-Northwestern Pennsylvania to DY, and the Yale University Biomedical High Performance Computing Center (NIH grants RR19895 and RR029676-01). Additionally, we thank the Rees Jones Foundation, Vin and Caren Prothro Foundation, and the Crystal Charity Ball for their generous support of Center for BrainHealth's research. We also thank Jeffrey Spence for feedback with statistical analyses.</t>
  </si>
  <si>
    <t>0005-7967</t>
  </si>
  <si>
    <t>1873-622X</t>
  </si>
  <si>
    <t>BEHAV RES THER</t>
  </si>
  <si>
    <t>Behav. Res. Ther.</t>
  </si>
  <si>
    <t>10.1016/j.brat.2017.03.014</t>
  </si>
  <si>
    <t>EU9TZ</t>
  </si>
  <si>
    <t>WOS:000401383900008</t>
  </si>
  <si>
    <t>Jaliaawala, MS; Khan, RA</t>
  </si>
  <si>
    <t>Jaliaawala, Muhammad Shoaib; Khan, Rizwan Ahmed</t>
  </si>
  <si>
    <t>Can autism be catered with artificial intelligence-assisted intervention technology? A comprehensive survey</t>
  </si>
  <si>
    <t>ARTIFICIAL INTELLIGENCE REVIEW</t>
  </si>
  <si>
    <t>Computer aided systems (CAS); Computer vision assisted technologies (CVAT); Autism spectrum disorder (ASD); Facial expression recognition; Artificial intelligence; Virtual reality</t>
  </si>
  <si>
    <t>HIGH-FUNCTIONING AUTISM; FACIAL EXPRESSION RECOGNITION; SPECTRUM DISORDERS; ASPERGER-SYNDROME; VIRTUAL ENVIRONMENTS; EMOTION RECOGNITION; SOCIAL-INTERACTION; CHILDREN; SKILLS; ADULTS</t>
  </si>
  <si>
    <t>This article presents an extensive literature review of technology based intervention methodologies for individuals facing autism spectrum disorder (ASD). Reviewed methodologies include: contemporary computer aided systems, computer vision assisted technologies and virtual reality (VR) or artificial intelligence (AI)-assisted interventions. The research over the past decade has provided enough demonstrations that individuals with ASD have a strong interest in technology based interventions, which are useful in both, clinical settings as well as at home and classrooms. Despite showing great promise, research in developing an advanced technology based intervention that is clinically quantitative for ASD is minimal. Moreover, the clinicians are generally not convinced about the potential of the technology based interventions due to non-empirical nature of published results. A major reason behind this lack of acceptability is that a vast majority of studies on distinct intervention methodologies do not follow any specific standard or research design. We conclude from our findings that there remains a gap between the research community of computer science, psychology and neuroscience to develop an AI assisted intervention technology for individuals suffering from ASD. Following the development of a standardized AI based intervention technology, a database needs to be developed, to devise effective AI algorithms.</t>
  </si>
  <si>
    <t>[Khan, Rizwan Ahmed] Barrett Hodgson Univ, Fac IT, Karachi, Pakistan; [Jaliaawala, Muhammad Shoaib] Hamdard Univ, Fac Engn Sci &amp; Technol, Karachi, Pakistan; [Khan, Rizwan Ahmed] Univ Claude Bernard Lyon1, LIRIS, Villeurbanne, France; [Jaliaawala, Muhammad Shoaib] Natl Univ Comp &amp; Emerging Sci, FAST NU, Karachi, Pakistan</t>
  </si>
  <si>
    <t>Hamdard University; Universite Claude Bernard Lyon 1; Institut National des Sciences Appliquees de Lyon - INSA Lyon</t>
  </si>
  <si>
    <t>Khan, RA (corresponding author), Barrett Hodgson Univ, Fac IT, Karachi, Pakistan.;Khan, RA (corresponding author), Univ Claude Bernard Lyon1, LIRIS, Villeurbanne, France.</t>
  </si>
  <si>
    <t>sjaliawala@gmail.com; rizwan17@gmail.com</t>
  </si>
  <si>
    <t>Khan, PhD, Rizwan Ahmed/N-7134-2018</t>
  </si>
  <si>
    <t>Khan, PhD, Rizwan Ahmed/0000-0003-0819-800X; jaliawala, muhammad shoaib/0000-0002-7322-6508</t>
  </si>
  <si>
    <t>0269-2821</t>
  </si>
  <si>
    <t>1573-7462</t>
  </si>
  <si>
    <t>ARTIF INTELL REV</t>
  </si>
  <si>
    <t>Artif. Intell. Rev.</t>
  </si>
  <si>
    <t>10.1007/s10462-019-09686-8</t>
  </si>
  <si>
    <t>Computer Science, Artificial Intelligence</t>
  </si>
  <si>
    <t>KL2RC</t>
  </si>
  <si>
    <t>WOS:000513275100008</t>
  </si>
  <si>
    <t>Miller, IT; Wiederhold, BK; Miller, CS; Wiederhold, MD</t>
  </si>
  <si>
    <t>Miller, Ian T.; Wiederhold, Brenda K.; Miller, Catherine S.; Wiederhold, Mark D.</t>
  </si>
  <si>
    <t>Virtual Reality Air Travel Training with Children on the Autism Spectrum: A Preliminary Report</t>
  </si>
  <si>
    <t>virtual reality; autism spectrum disorder; children; air travel; communication; social skills</t>
  </si>
  <si>
    <t>SOCIAL-SKILLS; DISORDER; MAINTENANCE</t>
  </si>
  <si>
    <t>Autism spectrum disorder (ASD) is categorized by deficits in social communication and interaction, alongside repetitive, restrictive behaviors or interests (RRBIs). Previous research supports the efficacy of virtual reality (VR) to train a variety of specific skills (i.e., riding a bus or crossing the street) as well as more complex social skills, such as emotion recognition and functional communication. The present reports the implementation of a VR-based air travel functional communication activity in five children diagnosed with ASD. Using an iPhone X and Google Cardboard device, researchers delivered the VR intervention once per week for 3 weeks to each participant. During these interventions, researchers measured activity completion ability on a 4-point scale. At week 4, all children participated in a real-world air travel rehearsal at the San Diego International Airport. Parents were asked to rate their child's air travel abilities before week 1 and after week 4. All children improved their air travel skills from pre- to postintervention, reflected in both the researchers' and parents' observations. All children navigated the real-world airport under their own power. This preliminary report suggests the efficacy of VR to teach basic air travel skills to young children diagnosed with autism. Clinician observations regarding attention to the VR and strategies for helping participants accept the intervention technique are discussed. Future iterations of this program will require larger sample sizes and more robust clinical measurements-such as communication samples and physiological monitoring.</t>
  </si>
  <si>
    <t>[Miller, Ian T.; Wiederhold, Brenda K.] Interact Media Inst, 6540 Lusk Blvd,Suite C-115, San Diego, CA 92121 USA; [Wiederhold, Brenda K.; Wiederhold, Mark D.] Virtual Real Med Ctr, La Jolla, CA USA; [Miller, Catherine S.] Speech Tree Therapy Ctr, Chula Vista, CA USA</t>
  </si>
  <si>
    <t>Miller, IT (corresponding author), Interact Media Inst, 6540 Lusk Blvd,Suite C-115, San Diego, CA 92121 USA.</t>
  </si>
  <si>
    <t>frontoffice@vrphobia.com</t>
  </si>
  <si>
    <t>Wiederhold, Brenda/Z-1993-2019</t>
  </si>
  <si>
    <t>Wiederhold, Brenda Kay/0000-0002-3320-0303</t>
  </si>
  <si>
    <t>Gerald T. and Inez Parker Foundation; Northeast Arc</t>
  </si>
  <si>
    <t>The authors and clinical team thank the Gerald T. and Inez Parker Foundation and the Northeast Arc for funding this research. In addition, we extend our appreciation to Speech Tree Therapy Center for its cooperation and valuable contribution of research space and clientele. Lastly, thank you to the San Diego International Airport Authority for organizing the real-world rehearsal experience for participants and families.</t>
  </si>
  <si>
    <t>10.1089/cyber.2019.0093</t>
  </si>
  <si>
    <t>JUL 2019</t>
  </si>
  <si>
    <t>WOS:000479757000001</t>
  </si>
  <si>
    <t>Burke, SL; Li, T; Grudzien, A; Garcia, S</t>
  </si>
  <si>
    <t>Burke, Shanna L.; Li, Tan; Grudzien, Adrienne; Garcia, Stephanie</t>
  </si>
  <si>
    <t>Brief Report: Improving Employment Interview Self-efficacy Among Adults with Autism and Other Developmental Disabilities Using Virtual Interactive Training Agents (ViTA)</t>
  </si>
  <si>
    <t>Autism spectrum disorders; Employment; Intellectual disabilities; Interviewing; Virtual interactive training agents; Self-efficacy</t>
  </si>
  <si>
    <t>SPECTRUM DISORDERS; REALITY EXPOSURE; SOCIAL-SKILLS; INDIVIDUALS; CHALLENGES; CHILDREN; OUTCOMES; ANXIETY; ABILITY</t>
  </si>
  <si>
    <t>This study evaluated the measurable impact of the use of virtual interactive training agents (ViTA) as a way to practice interviewing and gain confidence in responding to questions asked during job interviews. Of the total participants (n = 153), the majority were male (72.55%) with an average age of 21.71 years old (SD = 3.14 years). Autism spectrum disorders (ASDs; 64.71%) and intellectual disability (40%) were the most frequently reported diagnoses. Using a within-subjects repeated measures design, the repeated measures linear regression analysis found that the average self-efficacy score increased by 0.31 (p = 0.002), and statistically significant increases were found in all three subscales. Further development of virtual reality interventions like ViTA, that improve outcomes for adults with ASDs and other developmental disabilities, is warranted.</t>
  </si>
  <si>
    <t>[Burke, Shanna L.; Grudzien, Adrienne] Florida Int Univ, Robert Stempel Coll Publ Hlth &amp; Social Work, Sch Social Work, 11200 SW 8th St,AHC5 585, Miami, FL 33199 USA; [Li, Tan; Garcia, Stephanie] Florida Int Univ, Robert Stempel Coll Publ Hlth &amp; Social Work, Dept Biostat, 11200 SW 8th St, Miami, FL 33199 USA</t>
  </si>
  <si>
    <t>State University System of Florida; Florida International University; State University System of Florida; Florida International University</t>
  </si>
  <si>
    <t>Burke, SL (corresponding author), Florida Int Univ, Robert Stempel Coll Publ Hlth &amp; Social Work, Sch Social Work, 11200 SW 8th St,AHC5 585, Miami, FL 33199 USA.</t>
  </si>
  <si>
    <t>sburke@fiu.edu</t>
  </si>
  <si>
    <t>Burke, Shanna/H-6440-2019</t>
  </si>
  <si>
    <t>Dan Marino Foundation; Google Impact Challenge Grant; FIU Embrace</t>
  </si>
  <si>
    <t>Dan Marino Foundation; Google Impact Challenge Grant(Google Incorporated); FIU Embrace</t>
  </si>
  <si>
    <t>This research was funded by the Dan Marino Foundation, a Google Impact Challenge Grant, and FIU Embrace.</t>
  </si>
  <si>
    <t>10.1007/s10803-020-04571-8</t>
  </si>
  <si>
    <t>JUL 2020</t>
  </si>
  <si>
    <t>PX7OD</t>
  </si>
  <si>
    <t>WOS:000546511600003</t>
  </si>
  <si>
    <t>Cook, J; Swapp, D; Pan, X; Bianchi-Berthouze, N; Blakemore, SJ</t>
  </si>
  <si>
    <t>Cook, J.; Swapp, D.; Pan, X.; Bianchi-Berthouze, N.; Blakemore, S-J.</t>
  </si>
  <si>
    <t>Atypical interference effect of action observation in autism spectrum conditions</t>
  </si>
  <si>
    <t>PSYCHOLOGICAL MEDICINE</t>
  </si>
  <si>
    <t>interference; biological motion; imitation; Autism; mirror neurons</t>
  </si>
  <si>
    <t>MIRROR NEURON DYSFUNCTION; BIOLOGICAL MOTION; IMITATION IMPAIRMENTS; MOVEMENT INTERFERENCE; ROBOT ACTIONS; EEG EVIDENCE; CHILDREN; INDIVIDUALS; RECOGNITION; PERCEPTION</t>
  </si>
  <si>
    <t>Background Observing incongruent actions interferes with ongoing action execution. This 'interference effect' is larger for observed biological actions than for non-biological actions. The current study used virtual reality to investigate the biological specificity of interference effects of action observation in autism spectrum conditions (ASC). Method High-functioning adults with ASC and age- and IQ-matched healthy controls performed horizontal sinusoidal arm movements whilst observing arm movements conducted by a virtual reality agent with either human or robot form, which moved with either biological motion or at a constant velocity. In another condition, participants made the same arm movements while observing a real human. Observed arm movements were either congruent or incongruent with executed arm movements. An interference effect was calculated as the average variance in the incongruent action dimension during observation of incongruent compared with congruent movements. Results Control participants exhibited an interference effect when observing real human and virtual human agent incongruent movements but not when observing virtual robot agent movements. Individuals with ASC differed from controls in that they showed no interference effects for real human, virtual human or virtual robot movements. Conclusions The current study demonstrates atypical interference effects in ASC.</t>
  </si>
  <si>
    <t>[Cook, J.; Blakemore, S-J.] UCL Inst Cognit Neurosci, London, England; [Cook, J.] Radboud Univ Nijmegen, Donders Ctr Cognit Neuroimaging, NL-6525 ED Nijmegen, Netherlands; [Cook, J.] Univ Cambridge, Dept Psychiat, Cambridge, England; [Swapp, D.; Pan, X.] UCL Dept Comp Sci, London, England; [Bianchi-Berthouze, N.] UCL Interact Ctr, London, England</t>
  </si>
  <si>
    <t>University of London; University College London; Radboud University Nijmegen; University of Cambridge; University of London; University College London; University of London; University College London</t>
  </si>
  <si>
    <t>Cook, J (corresponding author), Radboud Univ Nijmegen, Donders Ctr Cognit Neuroimaging, NL-6525 ED Nijmegen, Netherlands.</t>
  </si>
  <si>
    <t>jennifer.cook@donders.ru.nl</t>
  </si>
  <si>
    <t>Blakemore, Sarah-Jayne/A-1792-2010; Cook, Jennifer/ABC-4134-2021</t>
  </si>
  <si>
    <t>Blakemore, Sarah-Jayne/0000-0002-1690-2805; Swapp, David/0000-0002-9335-8663; Berthouze, Nadia/0000-0001-8921-0044; Cook, Jennifer/0000-0003-4916-8667</t>
  </si>
  <si>
    <t>Wellcome Trust studentship [082910/Z/07/Z]; Royal Society University Research Fellowship; Wellcome Trust; Royal Society; Wellcome Trust [082910/Z/07/Z] Funding Source: Wellcome Trust</t>
  </si>
  <si>
    <t>Wellcome Trust studentship(Wellcome Trust); Royal Society University Research Fellowship(Royal Society UK); Wellcome Trust(Wellcome Trust); Royal Society(Royal Society UK); Wellcome Trust(Wellcome Trust)</t>
  </si>
  <si>
    <t>J.C. was supported by a Wellcome Trust studentship (grant no. 082910/Z/07/Z). S-J.B. was supported by a Royal Society University Research Fellowship. This study was funded by the Wellcome Trust and the Royal Society.</t>
  </si>
  <si>
    <t>32 AVENUE OF THE AMERICAS, NEW YORK, NY 10013-2473 USA</t>
  </si>
  <si>
    <t>0033-2917</t>
  </si>
  <si>
    <t>1469-8978</t>
  </si>
  <si>
    <t>PSYCHOL MED</t>
  </si>
  <si>
    <t>Psychol. Med.</t>
  </si>
  <si>
    <t>10.1017/S0033291713001335</t>
  </si>
  <si>
    <t>Psychology, Clinical; Psychiatry; Psychology</t>
  </si>
  <si>
    <t>Psychology; Psychiatry</t>
  </si>
  <si>
    <t>AD0WJ</t>
  </si>
  <si>
    <t>Green Submitted, Green Published, Green Accepted, hybrid</t>
  </si>
  <si>
    <t>WOS:000332954700007</t>
  </si>
  <si>
    <t>Cerasa, A; Gaggioli, A; Marino, F; Riva, G; Pioggia, G</t>
  </si>
  <si>
    <t>Cerasa, Antonio; Gaggioli, Andrea; Marino, Flavia; Riva, Giuseppe; Pioggia, Giovanni</t>
  </si>
  <si>
    <t>The promise of the metaverse in mental health: the new era of MEDverse</t>
  </si>
  <si>
    <t>HELIYON</t>
  </si>
  <si>
    <t>Metaverse; Mental disorders; Body dysmorphism disorders; Autism</t>
  </si>
  <si>
    <t>VIRTUAL-REALITY THERAPY; ANOREXIA-NERVOSA; BRAIN; DISORDERS; BEHAVIOR; FUTURE; AVATAR; NEED</t>
  </si>
  <si>
    <t>Since Mark Zuckerberg's announcement about the development of new three-dimensional virtual worlds for social communication, a great debate has been raised about the promise of such a technology. The metaverse, a term formed by combining meta and universe, could open a new era in mental health, mainly in psychological disorders, where the creation of a full-body illusion via digital avatar could promote healthcare and personal well-being. Patients affected by body dysmorphism symptoms (i.e., eating disorders), social deficits (i.e. autism) could greatly benefit from this kind of technology. However, it is not clear which advantage the metaverse would have in treating psychological disorders with respect to the well-known and effective virtual reality (VR) exposure therapy. Indeed, in the last twenty years, a plethora of studies have demonstrated the effectiveness of VR tech-nology in reducing symptoms of pain, anxiety, stress, as well as, in improving cognitive and social skills. We hypothesize that the metaverse will offer more opportunities, such as a more complex, virtual realm where sensory inputs, and recurrent feedback, mediated by a federation of multiple technologies -e.g., artificial in-telligence, tangible interfaces, Internet of Things and blockchain, can be reinterpreted for facilitating a new kind of communication overcoming self-body representation. However, nowadays a clear starting point does not exist. For this reason, it is worth defining a theoretical framework for applying this new kind of technology in a social neuroscience context for developing accurate solutions to mental health in the future.</t>
  </si>
  <si>
    <t>[Cerasa, Antonio; Marino, Flavia; Pioggia, Giovanni] CNR, Inst Biomed Res &amp; Innovat, IRIB CNR, I-98164 Messina, Italy; [Cerasa, Antonio] S Anna Inst, I-88900 Crotone, Italy; [Cerasa, Antonio] Univ Calabria, Dept Pharm, Pharmacotechnol Documentat &amp; Transfer Unit, Preclin &amp; Translat Pharmacol, I-87036 Arcavacata Di Rende, Italy; [Gaggioli, Andrea] Catholic Univ Milan, Res Ctr Commun Psychol, Milan, Italy; [Gaggioli, Andrea; Riva, Giuseppe] Ist Auxol Italiano, Appl Technol Neuropsychol Lab, Milan, Italy; [Riva, Giuseppe] Catholic Univ Milan, Humane Technol Lab, Milan, Italy</t>
  </si>
  <si>
    <t>Consiglio Nazionale delle Ricerche (CNR); Istituto Ricerca l'Innovazione Biomedica (IRIB-CNR); University of Calabria; Catholic University of the Sacred Heart; IRCCS Istituto Auxologico Italiano; Catholic University of the Sacred Heart</t>
  </si>
  <si>
    <t>Cerasa, A (corresponding author), CNR, Inst Biomed Res &amp; Innovat, IRIB CNR, I-98164 Messina, Italy.;Cerasa, A (corresponding author), S Anna Inst, I-88900 Crotone, Italy.;Cerasa, A (corresponding author), Univ Calabria, Dept Pharm, Pharmacotechnol Documentat &amp; Transfer Unit, Preclin &amp; Translat Pharmacol, I-87036 Arcavacata Di Rende, Italy.</t>
  </si>
  <si>
    <t>Antonio.cerasa76@gmail.com</t>
  </si>
  <si>
    <t>Gaggioli, Andrea/B-4643-2013; Marino, Flavia/IQR-5146-2023; Pioggia, Giovanni/C-8119-2016; cerasa, antonio/E-8614-2011; Riva, Giuseppe/C-5917-2008</t>
  </si>
  <si>
    <t>Pioggia, Giovanni/0000-0002-8089-7449; cerasa, antonio/0000-0002-8022-4770; Gaggioli, Andrea/0000-0001-7818-7598; Riva, Giuseppe/0000-0003-3657-106X</t>
  </si>
  <si>
    <t>CELL PRESS</t>
  </si>
  <si>
    <t>50 HAMPSHIRE ST, FLOOR 5, CAMBRIDGE, MA 02139 USA</t>
  </si>
  <si>
    <t>2405-8440</t>
  </si>
  <si>
    <t>Heliyon</t>
  </si>
  <si>
    <t>e11762</t>
  </si>
  <si>
    <t>10.1016/j.heliyon.2022.e11762</t>
  </si>
  <si>
    <t>NOV 2022</t>
  </si>
  <si>
    <t>7I6ZG</t>
  </si>
  <si>
    <t>WOS:000904033100002</t>
  </si>
  <si>
    <t>McCleery, JP; Zitter, A; Solórzano, R; Turnacioglu, S; Miller, JS; Ravindran, V; Parish-Morris, J</t>
  </si>
  <si>
    <t>McCleery, Joseph P.; Zitter, Ashley; Solorzano, Rita; Turnacioglu, Sinan; Miller, Judith S.; Ravindran, Vijay; Parish-Morris, Julia</t>
  </si>
  <si>
    <t>Safety and feasibility of an immersive virtual reality intervention program for teaching police interaction skills to adolescents and adults with autism</t>
  </si>
  <si>
    <t>adolescents; adults; autism spectrum disorder; feasibility; immersive virtual reality; intervention; safety</t>
  </si>
  <si>
    <t>Low-cost, wireless immersive virtual reality (VR) holds significant promise as a flexible and scalable intervention tool to help individuals with autism spectrum disorder (ASD) learn and develop critical practical life skills, including interacting safely and effectively with police officers. Previous research suggests that VR is a motivating intervention platform, but many individuals with ASD also exhibit anxiety and sensory sensitivities which might make it difficult to tolerate VR experiences. Here, we describe the results of a relatively large-scale, National Institutes of Health-funded systematic examination of the safety, feasibility, and usability of an immersive VR training program in adolescents and adults with ASD, aged 12 and older. Sixty verbally fluent individuals with no personal or immediate family history of seizures or migraines participated in either one (n= 30) or three 45-min (n= 30) VR sessions using a lightweight wireless headset, and were monitored for side effects. Participants also reported on system usability, enjoyment, and willingness to engage in further VR sessions. Results confirm that immersive VR is safe, feasible, and highly usable for verbally fluent adolescents and adults with ASD. Lay Summary Immersive virtual reality (VR) holds promise as a means to provide social skills interventions for individuals with autism spectrum disorder (ASD), but it is unclear whether associated anxiety and sensory symptoms might limit feasibility. Here, we report data that indicate that immersive VR is both safe and feasible for use in verbally fluent adolescents and adults with ASD, for up to three 45-min sessions.</t>
  </si>
  <si>
    <t>[McCleery, Joseph P.] St Josephs Univ, Dept Psychol, Kinney Ctr Autism Educ &amp; Support, 5600 City Ave, Philadelphia, PA 19131 USA; [McCleery, Joseph P.; Zitter, Ashley; Miller, Judith S.; Parish-Morris, Julia] Childrens Hosp Philadelphia, Ctr Autism Res, Philadelphia, PA 19104 USA; [Solorzano, Rita; Turnacioglu, Sinan; Ravindran, Vijay] Floreo Inc, Washington, DC USA; [Miller, Judith S.; Parish-Morris, Julia] Univ Penn, Perelman Sch Med, Philadelphia, PA 19104 USA</t>
  </si>
  <si>
    <t>Saint Joseph's University; University of Pennsylvania; Pennsylvania Medicine; Childrens Hospital of Philadelphia; University of Pennsylvania</t>
  </si>
  <si>
    <t>McCleery, JP (corresponding author), St Josephs Univ, Dept Psychol, Kinney Ctr Autism Educ &amp; Support, 5600 City Ave, Philadelphia, PA 19131 USA.</t>
  </si>
  <si>
    <t>jmccleer@sju.edu</t>
  </si>
  <si>
    <t>Miller, Judith/0000-0002-0796-0923; Parish-Morris, Julia/0000-0001-9633-2904</t>
  </si>
  <si>
    <t>Science and Technology Transfer Research (STTR) Fast-Track Research Award [1R42MH115539-01]</t>
  </si>
  <si>
    <t>Science and Technology Transfer Research (STTR) Fast-Track Research Award</t>
  </si>
  <si>
    <t>This research was supported by a Science and Technology Transfer Research (STTR) Fast-Track Research Award to Floreo, Inc. (1R42MH115539-01; PIs: V. R. and J. M.).</t>
  </si>
  <si>
    <t>10.1002/aur.2352</t>
  </si>
  <si>
    <t>AUG 2020</t>
  </si>
  <si>
    <t>NF2PH</t>
  </si>
  <si>
    <t>WOS:000556022300001</t>
  </si>
  <si>
    <t>White, SW; Richey, JA; Gracanin, D; Coffman, M; Elias, R; LaConte, S; Ollendick, TH</t>
  </si>
  <si>
    <t>White, Susan W.; Richey, John A.; Gracanin, Denis; Coffman, Marika; Elias, Rebecca; LaConte, Stephen; Ollendick, Thomas H.</t>
  </si>
  <si>
    <t>Psychosocial and Computer-Assisted Intervention for College Students with Autism Spectrum Disorder: Preliminary Support for Feasibility</t>
  </si>
  <si>
    <t>EDUCATION AND TRAINING IN AUTISM AND DEVELOPMENTAL DISABILITIES</t>
  </si>
  <si>
    <t>EDUCATIONAL ACTIVITIES; INDIVIDUALS; CHILDREN; ADULTS</t>
  </si>
  <si>
    <t>The number of young adults with Autism Spectrum Disorders (ASD) enrolled in higher education institutions has steadily increased over the last decade. Despite this, there has been little research on how to most effectively support this growing population. The current study presents data from a pilot trial of two novel intervention programs developed for college students with ASD. In this small randomized controlled trial, college students with ASD (n = 8) were assigned to one of two new programs either an intervention based on a virtual reality Brain-Computer Interface for ASD (BCI-ASD) or a psychosocial intervention, the College and Living Success (CLS) program. Preliminary evidence supports the feasibility and acceptability of both programs, although behavioral outcomes were inconsistent across participants and interventions. Results indicate that expanded research on psychosocial and computer-assisted intervention approaches for this population is warranted, given the preliminary support found in this pilot study.</t>
  </si>
  <si>
    <t>[White, Susan W.; Richey, John A.; Gracanin, Denis; Coffman, Marika; Elias, Rebecca; Ollendick, Thomas H.] Virginia Polytech Inst &amp; State Univ, Blacksburg, VA 24061 USA; [LaConte, Stephen] Virginia Tech, Caril Res Inst, Blacksburg, VA USA</t>
  </si>
  <si>
    <t>Virginia Polytechnic Institute &amp; State University; Virginia Polytechnic Institute &amp; State University</t>
  </si>
  <si>
    <t>White, SW (corresponding author), Virginia Polytech Inst &amp; State Univ, Blacksburg, VA 24061 USA.;White, SW (corresponding author), Ctr Child Study, 460 Turner St, Blacksburg, VA 24060 USA.</t>
  </si>
  <si>
    <t>sww@vt.edu</t>
  </si>
  <si>
    <t>Gracanin, Denis/0000-0001-6831-2818</t>
  </si>
  <si>
    <t>VT Center for Autism Research; NICHD [MH100268]</t>
  </si>
  <si>
    <t>VT Center for Autism Research; NICHD(United States Department of Health &amp; Human ServicesNational Institutes of Health (NIH) - USANIH Eunice Kennedy Shriver National Institute of Child Health &amp; Human Development (NICHD))</t>
  </si>
  <si>
    <t>This project was funded by a seed grant from the VT Center for Autism Research (PI White). Writing of this manuscript was partially supported by a grant from the NICHD (MH100268; PI White). We acknowledge Jonathan Lisinski for his consultation with fMRI data analysis. We thank the participants, as well as those individuals involved in data collection. Correspondence concerning this article should be addressed to Susan W. White, 460 Turner St., Child Study Center, Blacksburg, VA 24060. E-mail: sww@vt.edu</t>
  </si>
  <si>
    <t>COUNCIL EXCEPTIONAL CHILDREN</t>
  </si>
  <si>
    <t>ARLINGTON</t>
  </si>
  <si>
    <t>1110 N GLEBE RD, ARLINGTON, VA 22201-5704 USA</t>
  </si>
  <si>
    <t>2154-1647</t>
  </si>
  <si>
    <t>EDUC TRAIN AUTISM DE</t>
  </si>
  <si>
    <t>Educ. Train. Autism Dev. Disabil.</t>
  </si>
  <si>
    <t>DT5RC</t>
  </si>
  <si>
    <t>WOS:000381539300007</t>
  </si>
  <si>
    <t>Hutson, J</t>
  </si>
  <si>
    <t>Hutson, James</t>
  </si>
  <si>
    <t>Social Virtual Reality: Neurodivergence and Inclusivity in the Metaverse</t>
  </si>
  <si>
    <t>SOCIETIES</t>
  </si>
  <si>
    <t>virtual reality; introversion; neurodivergence; ASD; autism; metaverse; future of work</t>
  </si>
  <si>
    <t>SKILLS; EDUCATION; CHILDREN; PEOPLE; MODEL</t>
  </si>
  <si>
    <t>Whereas traditional teaching environments encourage lively and engaged interaction and reward extrovert qualities, introverts, and others with symptoms that make social engagement difficult, such as autism spectrum disorder (ASD), are often disadvantaged. This population is often more engaged in quieter, low-key learning environments and often does not speak up and answer questions in traditional lecture-style classes. These individuals are often passed over in school and later in their careers for not speaking up and are assumed to not be as competent as their gregarious and outgoing colleagues. With the rise of the metaverse and democratization of virtual reality (VR) technology, post-secondary education is especially poised to capitalize on the immersive learning environments social VR provides and prepare students for the future of work, where virtual collaboration will be key. This study seeks to reconsider the role of VR and the metaverse for introverts and those with ASD. The metaverse has the potential to continue the social and workplace changes already accelerated by the pandemic and open new avenues for communication and collaboration for a more inclusive audience and tomorrow.</t>
  </si>
  <si>
    <t>[Hutson, James] Lindenwood Univ, Dept Art Hist &amp; Visual Culture, St Charles, MO 63301 USA</t>
  </si>
  <si>
    <t>Hutson, J (corresponding author), Lindenwood Univ, Dept Art Hist &amp; Visual Culture, St Charles, MO 63301 USA.</t>
  </si>
  <si>
    <t>jhutson@lindenwood.edu</t>
  </si>
  <si>
    <t>Hutson, James/HNS-9587-2023</t>
  </si>
  <si>
    <t>Hutson, James/0000-0002-0578-6052</t>
  </si>
  <si>
    <t>2075-4698</t>
  </si>
  <si>
    <t>Societies</t>
  </si>
  <si>
    <t>10.3390/soc12040102</t>
  </si>
  <si>
    <t>Sociology</t>
  </si>
  <si>
    <t>Emerging Sources Citation Index (ESCI)</t>
  </si>
  <si>
    <t>4A6PH</t>
  </si>
  <si>
    <t>gold</t>
  </si>
  <si>
    <t>WOS:000845220200001</t>
  </si>
  <si>
    <t>Vajawat, B; Varshney, P; Banerjee, D</t>
  </si>
  <si>
    <t>Vajawat, Bhavika; Varshney, Prateek; Banerjee, Debanjan</t>
  </si>
  <si>
    <t>Digital Gaming Interventions in Psychiatry: Evidence, Applications and Challenges</t>
  </si>
  <si>
    <t>PSYCHIATRY RESEARCH</t>
  </si>
  <si>
    <t>Gamification; digital games; gaming interventions; psychiatry; mental health; review</t>
  </si>
  <si>
    <t>COGNITIVE-BEHAVIORAL THERAPY; BRAIN TRAINING GAMES; MENTAL-HEALTH; TELEMENTAL HEALTH; FEASIBILITY; DISORDERS; INTERNET; CHILDREN; ANXIETY</t>
  </si>
  <si>
    <t>Human evolution has regularly intersected with technology. Digitalization of various services has brought a paradigm shift in consumerism. Treading this path, mental health practice has gradually moved to Digital Mental Health Interventions (DMHI), to improve service access and delivery. Applied games are one such innovation that has gained recent popularity in psychiatry. Based on the principles of gamification, they target psychosocial and cognitive domains, according to the deficits in various psychiatric disorders. They have been used to deliver cognitive behaviour therapy, cognitive training and rehabilitation, behavioural modification, social motivation, attention enhancement, and biofeedback. Research shows their utility in ADHD, autistic spectrum disorders, eating disorders, post-traumatic stress, impulse control disorders, depression, schizophrenia, dementia, and even healthy aging. Virtual reality and artificial intelligence have been used in conjunction with gaming interventions to improvise their scope. Even though these interventions hold promise in engagement, ease of use, reduction of stigma, and bridging the mental-health gap, there are pragmatic challenges, especially in developing countries. These include network quality, infrastructure, feasibility, socio-cultural adaptability, and potential for abuse. Keeping this in the background, this review summarizes the scope, promise, and evidence of digital gaming in psychiatric practice, and highlights the potential caveats in their implementation.</t>
  </si>
  <si>
    <t>[Vajawat, Bhavika; Varshney, Prateek; Banerjee, Debanjan] Natl Inst Mental Hlth &amp; Neurosci NIMHANS, Dept Psychiat, Bengaluru, India</t>
  </si>
  <si>
    <t>National Institute of Mental Health &amp; Neurosciences - India</t>
  </si>
  <si>
    <t>Banerjee, D (corresponding author), NIMHANS, Dept Psychiat, Bengaluru, India.</t>
  </si>
  <si>
    <t>Dr.Djan88@gmail.com</t>
  </si>
  <si>
    <t>Varshney, Prateek/AAN-2768-2021</t>
  </si>
  <si>
    <t>Banerjee, Dr Debanjan/0000-0001-8152-9798</t>
  </si>
  <si>
    <t>ELSEVIER IRELAND LTD</t>
  </si>
  <si>
    <t>CLARE</t>
  </si>
  <si>
    <t>ELSEVIER HOUSE, BROOKVALE PLAZA, EAST PARK SHANNON, CO, CLARE, 00000, IRELAND</t>
  </si>
  <si>
    <t>0165-1781</t>
  </si>
  <si>
    <t>1872-7123</t>
  </si>
  <si>
    <t>PSYCHIAT RES</t>
  </si>
  <si>
    <t>Psychiatry Res.</t>
  </si>
  <si>
    <t>10.1016/j.psychres.2020.113585</t>
  </si>
  <si>
    <t>QA5UK</t>
  </si>
  <si>
    <t>WOS:000613510500034</t>
  </si>
  <si>
    <t>Siddharth; Patel, AN; Jung, TP; Sejnowski, TJ</t>
  </si>
  <si>
    <t>Siddharth; Patel, Aashish N.; Jung, Tzyy-Ping; Sejnowski, Terrence J.</t>
  </si>
  <si>
    <t>A Wearable Multi-Modal Bio-Sensing System Towards Real-World Applications</t>
  </si>
  <si>
    <t>Brain-computer interface (BCI); bio-sensing; EEG; pupillometry; multi-modality; PPG; eye-gaze; stimulus tagging; gaming</t>
  </si>
  <si>
    <t>INDEPENDENT COMPONENT ANALYSIS; BRAIN-COMPUTER INTERFACE</t>
  </si>
  <si>
    <t>Multi-modal bio-sensing has recently been used as effective research tools in affective computing, autism, clinical disorders, and virtual reality among other areas. However, none of the existing bio-sensing systems support multi-modality in a wearable manner outside well-controlled laboratory environments with research-grade measurements. This paper attempts to bridge this gap by developing a wearable multi-modal bio-sensing system capable of collecting, synchronizing, recording, and transmitting data from multiple bio-sensors: PPG, EEG, eye-gaze headset, body motion capture, GSR, etc., while also providing task modulation features including visual-stimulus tagging. This study describes the development and integration of various components of our system. We evaluate the developed sensors by comparing their measurements to those obtained by a standard research-grade bio-sensors. We first evaluate different sensor modalities of our headset, namely, earlobe-based PPG module with motion-noise canceling for ECG during heart-beat calculation. We also compare the steady-state visually evoked potentials measured by our shielded dry EEG sensors with the potentials obtained by commercially available dry EEG sensors. We also investigate the effect of head movements on the accuracy and precision of our wearable eye-gaze system. Furthermore, we carry out two practical tasks to demonstrate the applications of using multiple sensor modalities for exploring previously unanswerable questions in bio-sensing. Specifically, utilizing bio-sensing, we show which strategy works best for playing Where is Waldo? visual-search game, changes in EEG corresponding to true vs. false target fixations in this game, and predicting the loss/draw/win states through bio-sensing modalities while learning their limitations in a Rock-Paper-Scissors game.</t>
  </si>
  <si>
    <t>[Siddharth; Patel, Aashish N.] Univ Calif San Diego, Dept Elect &amp; Comp Engn, La Jolla, CA 92093 USA; [Jung, Tzyy-Ping; Sejnowski, Terrence J.] Univ Calif San Diego, Inst Neural Computat, La Jolla, CA 92093 USA</t>
  </si>
  <si>
    <t>University of California System; University of California San Diego; University of California System; University of California San Diego</t>
  </si>
  <si>
    <t>Siddharth (corresponding author), Univ Calif San Diego, Dept Elect &amp; Comp Engn, La Jolla, CA 92093 USA.</t>
  </si>
  <si>
    <t>ssiddhar@eng.ucsd.edu</t>
  </si>
  <si>
    <t>Sejnowski, Terrence/AAV-5558-2021; Jung, Tzyy-Ping/HPG-7054-2023</t>
  </si>
  <si>
    <t>Jung, Tzyy-Ping/0000-0002-8377-2166</t>
  </si>
  <si>
    <t>Army Research Laboratory [W911NF-10-2-0022]; NSF [NCS-1734883, NSF 1540943, IIP-1719130]; UC San Diego Center for Wearable Sensors</t>
  </si>
  <si>
    <t>Army Research Laboratory(United States Department of DefenseUS Army Research Laboratory (ARL)); NSF(National Science Foundation (NSF)); UC San Diego Center for Wearable Sensors</t>
  </si>
  <si>
    <t>This work was supported in part by the Army Research Laboratory under Cooperative Agreement Number W911NF-10-2-0022, NSF NCS-1734883, NSF 1540943, NSF IIP-1719130, and in part under a Grant from UC San Diego Center for Wearable Sensors.</t>
  </si>
  <si>
    <t>10.1109/TBME.2018.2868759</t>
  </si>
  <si>
    <t>HQ4EP</t>
  </si>
  <si>
    <t>WOS:000462363300023</t>
  </si>
  <si>
    <t>Miller, HL; Caçola, PM; Sherrod, GM; Patterson, RM; Bugnariu, NL</t>
  </si>
  <si>
    <t>Miller, Haylie L.; Cacola, Priscila M.; Sherrod, Gabriela M.; Patterson, Rita M.; Bugnariu, Nicoleta L.</t>
  </si>
  <si>
    <t>Children with Autism Spectrum Disorder, Developmental Coordination Disorder, and typical development differ in characteristics of dynamic postural control: A preliminary study</t>
  </si>
  <si>
    <t>GAIT &amp; POSTURE</t>
  </si>
  <si>
    <t>Autism Spectrum Disorder; Developmental Coordination; Disorder Dynamic postural control; Center of pressure; Virtual environment; Children</t>
  </si>
  <si>
    <t>Background: Autism Spectrum Disorder (ASD) and Developmental Coordination Disorder (DCD) are developmental disorders with distinct definitions and symptoms. However, both conditions share difficulties with motor skills, including impairments in postural control. While studies have explored postural sway variables in children with DCD and ASD as compared to typical development (TD), few have used kinematic data to assess the magnitude of differences between these two neurodevelopmental conditions. There are few sensitive and specific measures available to assess balance impairment severity in these populations. Research question: Do individuals with ASD, DCD, and TD differ in dynamic postural control? Methods: We quantified postural control differences between ASD, DCD, and TD during a dynamic balance task. 10 ASD, 10 DCD, and 8 TD agematched children completed a dynamic postural control task in a virtual environment. They leaned to shift their center of pressure (CoP) to match a user-controlled object to an oscillating target (0.1 Hz-0.8 Hz). Results: The DCD group had higher CoP accelerations compared to ASD or TD. While the DCD and TD groups did not differ in their medial-lateral velocity, the ASD group had low medial-lateral velocity and acceleration as compared to DCD and TD. ASD group velocity and acceleration did not differ from that of the TD group in the anterior-posterior direction. Higher accelerations in the DCD group reflected non-fluid movements; by contrast, the ASD group had slower, more fluid movements. Results may reflect differences in how children with ASD and DCD plan, execute, and modify motor actions. Significance: This study demonstrates the potential utility of CoP acceleration and velocity as a sensitive and specific means of differentiating between ASD, DCD, and TD. Results indicating group differences between ASD and DCD in velocity and acceleration profiles represent an important step toward understanding how these populations modify motor plans during dynamic tasks.</t>
  </si>
  <si>
    <t>[Miller, Haylie L.; Sherrod, Gabriela M.; Bugnariu, Nicoleta L.] Univ North Texas Hlth Sci Ctr, Dept Phys Therapy, 3500 Camp Bowie Blvd, Ft Worth, TX 76107 USA; [Cacola, Priscila M.] Univ Texas Arlington, Dept Kinesiol, 701 S Nedderman Dr, Arlington, TX 76019 USA; [Patterson, Rita M.] Univ North Texas Hlth Sci Ctr, Dept Family Med, 3500 Camp Bowie Blvd, Ft Worth, TX 76107 USA</t>
  </si>
  <si>
    <t>University of North Texas System; University of North Texas Health Science Center; University of Texas System; University of Texas Arlington; University of North Texas System; University of North Texas Health Science Center</t>
  </si>
  <si>
    <t>Miller, HL (corresponding author), Univ North Texas Hlth Sci Ctr, Dept Phys Therapy, 3500 Camp Bowie Blvd, Ft Worth, TX 76107 USA.</t>
  </si>
  <si>
    <t>Haylie.Miller@unthsc.edu</t>
  </si>
  <si>
    <t>Miller, Haylie/0000-0003-4372-1206</t>
  </si>
  <si>
    <t>National Institutes of Health [KL2-TR001103, K01-MH107774]; National Science Foundation [SMA-1514495]</t>
  </si>
  <si>
    <t>National Institutes of Health(United States Department of Health &amp; Human ServicesNational Institutes of Health (NIH) - USA); National Science Foundation(National Science Foundation (NSF))</t>
  </si>
  <si>
    <t>This work was supported by the National Institutes of Health [KL2-TR001103; K01-MH107774] and the National Science Foundation [SMA-1514495].</t>
  </si>
  <si>
    <t>0966-6362</t>
  </si>
  <si>
    <t>1879-2219</t>
  </si>
  <si>
    <t>GAIT POSTURE</t>
  </si>
  <si>
    <t>Gait Posture</t>
  </si>
  <si>
    <t>10.1016/j.gaitpost.2018.08.038</t>
  </si>
  <si>
    <t>Neurosciences; Orthopedics; Sport Sciences</t>
  </si>
  <si>
    <t>Neurosciences &amp; Neurology; Orthopedics; Sport Sciences</t>
  </si>
  <si>
    <t>HA3UT</t>
  </si>
  <si>
    <t>WOS:000450182400002</t>
  </si>
  <si>
    <t>Ke, FF; Moon, J</t>
  </si>
  <si>
    <t>Ke, Fengfeng; Moon, Jewoong</t>
  </si>
  <si>
    <t>Virtual collaborative gaming as social skills training for high-functioning autistic children</t>
  </si>
  <si>
    <t>BRITISH JOURNAL OF EDUCATIONAL TECHNOLOGY</t>
  </si>
  <si>
    <t>SPECTRUM DISORDERS; SERIOUS GAME; INTERVENTION; ADOLESCENTS; IDENTITY; CLASSIFICATION; COMMUNICATION; INDIVIDUALS; ENVIRONMENT; ADULTS</t>
  </si>
  <si>
    <t>Using OpenSimulator, we constructed a 3D virtual playground that affords competition-themed social gaming, role-play gaming and design-themed architectural gaming among high-functioning autistic (HFA) children. A mixed-method, multi-case study was conducted to examine the association between the game task and setting features, learners' participation patterns, and their game-based social interaction performance. Eight 10-14-year-old HFA children participated in the study. Data were collected via screen recording and observation of participants' gaming actions and reactions. We conducted a behavioral analysis with the recorded social interaction performance of participants in the virtual gaming sessions. The study found that virtual reality-based gameplay promoted the social interaction performance of HFA children. The study findings also suggested that gameplay should be adapted based on the competencies and in-situ reactions of learners.</t>
  </si>
  <si>
    <t>[Ke, Fengfeng] Florida State Univ, Educ Psychol &amp; Learning Syst Dept, Coll Educ, Tallahassee, FL 32306 USA; [Moon, Jewoong] Florida State Univ, Program Instruct Syst &amp; Learning Technol, Coll Educ, Tallahassee, FL 32306 USA</t>
  </si>
  <si>
    <t>Ke, FF (corresponding author), Florida State Univ, Educ Psychol &amp; Learning Syst, Tallahassee, FL 32306 USA.</t>
  </si>
  <si>
    <t>Moon, Jewoong/AAB-5647-2019</t>
  </si>
  <si>
    <t>Ke, Fengfeng/0000-0003-4203-1203; Moon, Jewoong/0000-0001-6311-3019</t>
  </si>
  <si>
    <t>Spencer Foundation</t>
  </si>
  <si>
    <t>This work was supported by the Spencer Foundation [grant 2014].</t>
  </si>
  <si>
    <t>0007-1013</t>
  </si>
  <si>
    <t>1467-8535</t>
  </si>
  <si>
    <t>BRIT J EDUC TECHNOL</t>
  </si>
  <si>
    <t>Br. J. Educ. Technol.</t>
  </si>
  <si>
    <t>10.1111/bjet.12626</t>
  </si>
  <si>
    <t>GO6GF</t>
  </si>
  <si>
    <t>WOS:000440136700012</t>
  </si>
  <si>
    <t>Neural mechanisms of behavioral change in young adults with high-functioning autism receiving virtual reality social cognition training: A pilot study</t>
  </si>
  <si>
    <t>neuroplasticity; adults with autism; emotion recognition; theory of mind; clinical trials; computerized treatment; virtual reality</t>
  </si>
  <si>
    <t>DIAGNOSTIC OBSERVATION SCHEDULE; FACIAL EMOTION RECOGNITION; BIOLOGICAL-MOTION; TEMPORAL INTEGRATION; SPECTRUM DISORDERS; BRAIN MECHANISMS; RIGHT-HEMISPHERE; PERCEPTION; NETWORKS; SKILLS</t>
  </si>
  <si>
    <t>Measuring treatment efficacy in individuals with Autism Spectrum Disorder (ASD) relies primarily on behaviors, with limited evidence as to the neural mechanisms underlying these behavioral gains. This pilot study addresses this void by investigating neural and behavioral changes in a Phase I trial in young adults with high-functioning ASD who received an evidence-based behavioral intervention, Virtual Reality-Social Cognition Training over 5 weeks for a total of 10 hr. The participants were tested pre- and post-training with a validated biological/social versus scrambled/nonsocial motion neuroimaging task, previously shown to activate regions within the social brain networks. Three significant brain-behavior changes were identified. First, the right posterior superior temporal sulcus, a hub for socio-cognitive processing, showed increased brain activation to social versus nonsocial stimuli in individuals with greater gains on a theory-of-mind measure. Second, the left inferior frontal gyrus, a region for socio-emotional processing, tracked individual gains in emotion recognition with decreased activation to social versus nonsocial stimuli. Finally, the left superior parietal lobule, a region for visual attention, showed significantly decreased activation to nonsocial versus social stimuli across all participants, where heightened attention to nonsocial contingencies has been considered a disabling aspect of ASD. This study provides, albeit preliminary, some of the first evidence of the harnessable neuroplasticity in adults with ASD through an age-appropriate intervention in brain regions tightly linked to social abilities. This pilot trial motivates future efforts to develop and test social interventions to improve behaviors and supporting brain networks in adults with ASD. Autism Res2018, 11: 713-725. (c) 2018 The Authors Autism Research published by International Society for Autism Research and Wiley Periodicals, Inc. Lay SummaryThis study addresses how the behavioral changes after treatment for ASD reflect underlying brain changes. Before and after receiving VR-SCT, young adults with high-functioning ASD passively viewed biological motion stimuli in a MRI scanner, tapping changes in the social brain network. The results reveal neuroplasticity in this age population, extending the window of opportunity for interventions to impact social competency in adults with ASD.</t>
  </si>
  <si>
    <t>[Yang, Y. J. Daniel; Pelphrey, Kevin A.] George Washington Univ, Autism &amp; Neurodev Disorders Inst, 2115 G St NW, Washington, DC 20052 USA; [Yang, Y. J. Daniel; Pelphrey, Kevin A.] Childrens Natl Hlth Syst, 2115 G St NW, Washington, DC 20052 USA; [Yang, Y. J. Daniel; Abdullahi, Sebiha M.; Volkmar, Fred R.] Yale Univ, Sch Med, New Haven, CT USA; [Allen, Tandra; Chapman, Sandra B.] Univ Texas Dallas, Ctr BrainHlth, Dallas, TX USA</t>
  </si>
  <si>
    <t>George Washington University; Children's National Health System; Yale University; University of Texas System; University of Texas Dallas</t>
  </si>
  <si>
    <t>Yang, YJD (corresponding author), George Washington Univ, Autism &amp; Neurodev Disorders Inst, 2115 G St NW, Washington, DC 20052 USA.;Yang, YJD (corresponding author), Childrens Natl Hlth Syst, 2115 G St NW, Washington, DC 20052 USA.</t>
  </si>
  <si>
    <t>Harris Professorship at Yale Child Study Center; Autism Speaks Meixner Postdoctoral Fellowship in Translational Research [9284]; NIH [RR19895, RR029676-01]; Rees-Jones Foundation; Vin and Caren Prothro Foundation; Crystal Charity Ball</t>
  </si>
  <si>
    <t>Harris Professorship at Yale Child Study Center; Autism Speaks Meixner Postdoctoral Fellowship in Translational Research; NIH(United States Department of Health &amp; Human ServicesNational Institutes of Health (NIH) - USA); Rees-Jones Foundation; Vin and Caren Prothro Foundation; Crystal Charity Ball</t>
  </si>
  <si>
    <t>We thank the participants and their families included in this study for their time and participation and the research assistants in our research centers, making this research possible. This work was supported by the Harris Professorship at Yale Child Study Center to KAP, Autism Speaks Meixner Postdoctoral Fellowship in Translational Research (#9284) to DY, a gift from the Autism Society-Northwestern Pennsylvania to DY, and the Yale Center for Research Computing for guidance and use of the research computing infrastructure (NIH grants RR19895 and RR029676-01). Additionally, we thank the Rees-Jones Foundation, Vin and Caren Prothro Foundation, and the Crystal Charity Ball for their generous support of Center for BrainHealth's research. We also thank Jeffrey Spence for feedback with statistical analyses.</t>
  </si>
  <si>
    <t>10.1002/aur.1941</t>
  </si>
  <si>
    <t>GI0KV</t>
  </si>
  <si>
    <t>WOS:000434059700004</t>
  </si>
  <si>
    <t>Schmidt, M; Glaser, N</t>
  </si>
  <si>
    <t>Schmidt, Matthew; Glaser, Noah</t>
  </si>
  <si>
    <t>Investigating the usability and learner experience of a virtual reality adaptive skills intervention for adults with autism spectrum disorder</t>
  </si>
  <si>
    <t>ETR&amp;D-EDUCATIONAL TECHNOLOGY RESEARCH AND DEVELOPMENT</t>
  </si>
  <si>
    <t>Adaptive skills; Autism spectrum disorder; Generalization; 360-degree video; Virtual reality; Complexity theory; Learning experience design</t>
  </si>
  <si>
    <t>TECHNOLOGY-BASED INTERVENTIONS; SOCIAL-SKILLS; ASPERGER-SYNDROME; COGNITIVE LOAD; YOUNG-ADULTS; CHILDREN; ENVIRONMENTS; ADOLESCENTS; PREVALENCE; YOUTH</t>
  </si>
  <si>
    <t>Research on the use of virtual reality (VR) for individuals with autism lacks design precedent and theoretical guidance. Further, research in this area often fails to include participants in the design of interventions. This paper seeks to address these gaps. A proof-of-concept adaptive skills intervention for adults on the autism spectrum was developed to promote safe and appropriate utilization of public transportation. Grounded in theories of complexity and generalization, technological and pedagogical scaffolds were designed in a staged manner and gradually faded to promote acquisition and generalization of target skills. A constellation of technologies was employed, including 360-degree video and headset-based VR. A multi-phase usage study was conducted to evaluate the efficiency and appeal of the prototype intervention so as to reveal design flaws and uncover opportunities to improve the overall learner experience. Findings are presented from the perspectives of expert testers (n = 4) and participant testers with autism (n = 5). Results suggest a largely positive learner experience and that the intervention is feasible and relevant to the unique needs of the target population. Implications are presented from the perspective of Roger's adoption characteristics.</t>
  </si>
  <si>
    <t>[Schmidt, Matthew] Univ Florida, 2423 Norman Hall,Off 2-206,POB 117048, Gainesville, FL 32611 USA; [Glaser, Noah] Univ Connecticut, Storrs, CT USA</t>
  </si>
  <si>
    <t>State University System of Florida; University of Florida; University of Connecticut</t>
  </si>
  <si>
    <t>Schmidt, M (corresponding author), Univ Florida, 2423 Norman Hall,Off 2-206,POB 117048, Gainesville, FL 32611 USA.</t>
  </si>
  <si>
    <t>matthew.schmidt@coe.ufl.edu</t>
  </si>
  <si>
    <t>1042-1629</t>
  </si>
  <si>
    <t>1556-6501</t>
  </si>
  <si>
    <t>ETR&amp;D-EDUC TECH RES</t>
  </si>
  <si>
    <t>ETR&amp;D-Educ. Tech. Res. Dev.</t>
  </si>
  <si>
    <t>10.1007/s11423-021-10005-8</t>
  </si>
  <si>
    <t>JUN 2021</t>
  </si>
  <si>
    <t>TE8LB</t>
  </si>
  <si>
    <t>WOS:000658588400001</t>
  </si>
  <si>
    <t>Meindl, JN; Saba, S; Gray, M; Stuebing, L; Jarvis, A</t>
  </si>
  <si>
    <t>Meindl, James N.; Saba, Serena; Gray, Mackenzie; Stuebing, Laurie; Jarvis, Angela</t>
  </si>
  <si>
    <t>Reducing blood draw phobia in an adult with autism spectrum disorder using low-cost virtual reality exposure therapy</t>
  </si>
  <si>
    <t>JOURNAL OF APPLIED RESEARCH IN INTELLECTUAL DISABILITIES</t>
  </si>
  <si>
    <t>autism spectrum disorder; exposure therapy; needle phobia; systematic desensitization; virtual reality</t>
  </si>
  <si>
    <t>NEEDLE PHOBIA; INTERVENTION; FEAR</t>
  </si>
  <si>
    <t>Background Needle phobias are common in children and adults worldwide. One effective intervention for this phobia is exposure therapy where a participant is gradually exposed to increasing levels of the fear-evoking stimulus while differential reinforcement is applied. This intervention, however, may be difficult to implement with some medical procedures as it may be difficult to obtain unfettered access to medical facilities and equipment for the purposes of exposure. Virtual reality may overcome these obstacles. Methods In this investigation, the present authors developed a low-cost virtual reality-based exposure therapy which was used with an adult male with autism spectrum disorder and a history of extreme needle phobia. The effectiveness of this intervention was evaluated using a changing criterions design with generalization probes. Results The intervention quickly increased the participant's compliance in the analogue training setting and the effects were generalized across settings and behaviours, and maintained over time. Conclusions The findings indicate combining virtual reality with exposure therapy may produce an effective intervention for medical phobias. The intervention package may remove barriers associate with traditional exposure therapy and was low-cost which may increase access to the intervention.</t>
  </si>
  <si>
    <t>[Meindl, James N.; Jarvis, Angela] Univ Memphis, 400A Ball Hall, Memphis, TN 38152 USA; [Saba, Serena] Lewis &amp; Clark Coll, Portland, OR USA</t>
  </si>
  <si>
    <t>University of Memphis; Lewis &amp; Clark College</t>
  </si>
  <si>
    <t>Meindl, JN (corresponding author), Univ Memphis, 400A Ball Hall, Memphis, TN 38152 USA.</t>
  </si>
  <si>
    <t>jnmeindl@memphis.edu</t>
  </si>
  <si>
    <t>Meindl, James/0000-0002-7539-3828</t>
  </si>
  <si>
    <t>1360-2322</t>
  </si>
  <si>
    <t>1468-3148</t>
  </si>
  <si>
    <t>J APPL RES INTELLECT</t>
  </si>
  <si>
    <t>J. Appl. Res. Intellect. Disabil.</t>
  </si>
  <si>
    <t>10.1111/jar.12637</t>
  </si>
  <si>
    <t>Psychology, Educational; Rehabilitation</t>
  </si>
  <si>
    <t>Psychology; Rehabilitation</t>
  </si>
  <si>
    <t>JC4BU</t>
  </si>
  <si>
    <t>WOS:000489223000013</t>
  </si>
  <si>
    <t>De Luca, R; Leonardi, S; Portaro, S; Le Cause, M; De Domenico, C; Colucci, PV; Pranio, F; Bramanti, P; Calabrò, RS</t>
  </si>
  <si>
    <t>De Luca, Rosaria; Leonardi, Simona; Portaro, Simona; Le Cause, Maria; De Domenico, Carmela; Colucci, Pia Valentina; Pranio, Federica; Bramanti, Placido; Calabro, Rocco Salvatore</t>
  </si>
  <si>
    <t>Innovative use of virtual reality in autism spectrum disorder: A case-study</t>
  </si>
  <si>
    <t>APPLIED NEUROPSYCHOLOGY-CHILD</t>
  </si>
  <si>
    <t>ASD; autism; cognitive rehabilitation; neuropsychological assessment; virtual reality environment</t>
  </si>
  <si>
    <t>COGNITIVE-BEHAVIORAL THERAPY; HIGH-FUNCTIONING AUTISM; PARENTING STRESS; CHILDREN; ANXIETY; ADOLESCENTS; INTERVENTION; DEPRESSION; ATTENTION; EFFICACY</t>
  </si>
  <si>
    <t>Autism Spectrum Disorders (ASDs) are developmental disorders affecting communication and behavior. ASD incidence in the world population is about 1%, with a 4:1 ratio between males and females. In clinical practice, ASDs have been usually treated with cognitive-behavioral approaches, involving a face-to-face interaction with the therapist. Over the last years, virtual reality (VR) has played an important role in neurorehabilitation, even for ASD cognitive treatment. A 16-year-old boy with severe ASD and his caregiver were enrolled in the study. Two different cognitive trainings were administered; first, the boy was submitted to one-month cognitive behavioral therapy (CBT); then, after one month of rest, a combined approach using VR (by means of the BTS-Nirvana System) and CBT was applied. Only the combined approach provided an improvement in attention processes and spatial cognition skills, with a significant reduction of ideomotor stereotypes. According to this experience, the use of VR in addition to CBT could be a useful and promising tool to improve cognitive function in individuals severely affected by ASD.</t>
  </si>
  <si>
    <t>[De Luca, Rosaria; Leonardi, Simona; Portaro, Simona; Le Cause, Maria; De Domenico, Carmela; Colucci, Pia Valentina; Pranio, Federica; Bramanti, Placido; Calabro, Rocco Salvatore] IRCCS Ctr Neurolesi Bonino Pulejo, Robot &amp; Behav Neurehabil Lab, SS 113, I-98124 Messina, Italy</t>
  </si>
  <si>
    <t>IRCCS Bonino Pulejo</t>
  </si>
  <si>
    <t>Calabrò, RS (corresponding author), IRCCS Ctr Neurolesi Bonino Pulejo, Robot &amp; Behav Neurehabil Lab, SS 113, I-98124 Messina, Italy.</t>
  </si>
  <si>
    <t>salbro77@tiscali.it</t>
  </si>
  <si>
    <t>Calabrò, Rocco/K-7520-2016; leonardi, simona/GXI-0230-2022; PORTARO, SIMONA/GVS-8522-2022; Pranio, Federica/AAB-4885-2020; De Domenico, Carmela/JDD-0985-2023; Le Cause, Maria/AHD-2285-2022; Bramanti, Placido/K-5117-2016; LEONARDI, SIMONA/B-9405-2017</t>
  </si>
  <si>
    <t>calabro, rocco salvatore/0000-0002-8566-3166; Bramanti, Placido/0000-0003-0394-8166; Pranio, Federica/0000-0002-8559-6637; colucci, pia valentina/0000-0003-0155-2491; De Luca, Rosaria/0000-0001-9503-4366; De Domenico, Carmela/0009-0007-8868-8485; LEONARDI, SIMONA/0000-0001-5623-754X; Le Cause, Maria/0000-0001-7709-9422</t>
  </si>
  <si>
    <t>2162-2965</t>
  </si>
  <si>
    <t>2162-2973</t>
  </si>
  <si>
    <t>APPL NEUROPSYCH-CHIL</t>
  </si>
  <si>
    <t>Appl. Neuropsychol.-Child</t>
  </si>
  <si>
    <t>JAN 2</t>
  </si>
  <si>
    <t>10.1080/21622965.2019.1610964</t>
  </si>
  <si>
    <t>MAY 2019</t>
  </si>
  <si>
    <t>Clinical Neurology; Psychology</t>
  </si>
  <si>
    <t>PU8EZ</t>
  </si>
  <si>
    <t>WOS:000470580600001</t>
  </si>
  <si>
    <t>Lu, A; Chan, S; Cai, YY; Huang, LH; Nay, ZT; Goei, SL</t>
  </si>
  <si>
    <t>Lu, Andrew; Chan, Sandra; Cai, Yiyu; Huang, Lihui; Nay, Zin Tun; Goei, Sui Lin</t>
  </si>
  <si>
    <t>Learning through VR gaming with virtual pink dolphins for children with ASD</t>
  </si>
  <si>
    <t>Serious games; simulation; virtual reality; game based learning</t>
  </si>
  <si>
    <t>AUTISM SPECTRUM DISORDER; AUGMENTED REALITY</t>
  </si>
  <si>
    <t>Autism Spectrum Disorder (ASD) is a developmental disorder with different levels of severity. Although the exact causes of ASD is not yet known, nor is there a medical cure for ASD to date, special facilities and schools have been established to help individuals coping better and becoming more independent. With the advancement in Virtual Reality (VR) technology, there has been a greater depth of development of technology-enhanced game-based learning for children with ASD. This paper will describe our effort on virtual pink dolphins to assist children with ASD in their learning, at the same time, to avoid the use of physical pink dolphins which is a species endangered. A study on the use of a low-cost VR enabled pink dolphins game for children with ASD to learn direction following, psychomotor skills and hand-eye coordination will be reported.</t>
  </si>
  <si>
    <t>[Lu, Andrew; Chan, Sandra; Cai, Yiyu; Huang, Lihui; Nay, Zin Tun] Nanjing Univ Technol, Sch Mech &amp; Aerosp Engn, Singapore, Singapore; [Cai, Yiyu] Nanyang Technol Univ, Inst Media Innovat, Singapore, Singapore; [Goei, Sui Lin] Windesheim Univ Appl Sci, Dept Human Movement &amp; Educ, Zwolle, Netherlands; [Goei, Sui Lin] Vrije Univ Amsterdam, LEARN Res Inst, Dept Teacher Educ, Amsterdam, Netherlands</t>
  </si>
  <si>
    <t>Nanyang Technological University; Nanyang Technological University; Vrije Universiteit Amsterdam</t>
  </si>
  <si>
    <t>Cai, YY (corresponding author), Nanyang Technol Univ, Sch Mech &amp; Aerosp Engn, Inst Media Innovat, 50 Nanyang Ave, Singapore 639798, Singapore.</t>
  </si>
  <si>
    <t>myycai@ntu.edu.sg</t>
  </si>
  <si>
    <t>Cai, Yiyu/A-3816-2011</t>
  </si>
  <si>
    <t>Goei, Sui Lin/0000-0003-4676-4447</t>
  </si>
  <si>
    <t>Temasek Trust Funded Singapore Millennium Foudnation [2013]; RRIS Rehabilitation Research Grant [RRG1/16002]</t>
  </si>
  <si>
    <t>Temasek Trust Funded Singapore Millennium Foudnation(Singapore Millennium Foundation); RRIS Rehabilitation Research Grant</t>
  </si>
  <si>
    <t>This work was supported by Temasek Trust Funded Singapore Millennium Foudnation [grant number 2013]; RRIS Rehabilitation Research Grant [grant number RRG1/16002].</t>
  </si>
  <si>
    <t>10.1080/10494820.2017.1399149</t>
  </si>
  <si>
    <t>GO3JU</t>
  </si>
  <si>
    <t>WOS:000439886800002</t>
  </si>
  <si>
    <t>Forbes, PAG; Pan, XN; Hamilton, AFD</t>
  </si>
  <si>
    <t>Forbes, Paul A. G.; Pan, Xueni; Hamilton, Antonia F. de C.</t>
  </si>
  <si>
    <t>Reduced Mimicry to Virtual Reality Avatars in Autism Spectrum Disorder</t>
  </si>
  <si>
    <t>Mimicry; Virtual reality; Social cognition; Kinematics; Imitation</t>
  </si>
  <si>
    <t>AUTOMATIC IMITATION; FACIAL EXPRESSIONS; DEFICITS; PERCEPTION</t>
  </si>
  <si>
    <t>Mimicry involves unconsciously copying the actions of others. Increasing evidence suggests that autistic people can copy the goal of an observed action but show differences in their mimicry. We investigated mimicry in autism spectrum disorder (ASD) within a two-dimensional virtual reality environment. Participants played an imitation game with a socially engaged avatar and socially disengaged avatar. Despite being told only to copy the goal of the observed action, autistic participants and matched neurotypical participants mimicked the kinematics of the avatars' movements. However, autistic participants mimicked less. Social engagement did not modulate mimicry in either group. The results demonstrate the feasibility of using virtual reality to induce mimicry and suggest mimicry differences in ASD may also occur when interacting with avatars.</t>
  </si>
  <si>
    <t>[Forbes, Paul A. G.; Hamilton, Antonia F. de C.] UCL, Inst Cognit Neurosci, London, England; [Pan, Xueni] Univ London, Dept Comp, Goldsmiths, London, England</t>
  </si>
  <si>
    <t>University of London; University College London; University of London; Goldsmiths University London</t>
  </si>
  <si>
    <t>Forbes, PAG (corresponding author), UCL, Inst Cognit Neurosci, London, England.</t>
  </si>
  <si>
    <t>paul.forbes.13@ucl.ac.uk</t>
  </si>
  <si>
    <t>Pan, Xueni/B-4307-2013; Hamilton, Antonia/ABC-4196-2021</t>
  </si>
  <si>
    <t>Forbes, Paul/0000-0002-0138-8508</t>
  </si>
  <si>
    <t>ERC [313398-INTERACT]</t>
  </si>
  <si>
    <t>ERC(European Research Council (ERC))</t>
  </si>
  <si>
    <t>This work was supported by ERC Starting Grant: 313398-INTERACT. We thank the autism@icn group and all the participants for their contribution.</t>
  </si>
  <si>
    <t>10.1007/s10803-016-2930-2</t>
  </si>
  <si>
    <t>ED1RA</t>
  </si>
  <si>
    <t>Green Accepted, hybrid, Green Published</t>
  </si>
  <si>
    <t>WOS:000388621400014</t>
  </si>
  <si>
    <t>Trepagnier, CG</t>
  </si>
  <si>
    <t>Virtual environments for the investigation and rehabilitation of cognitive and perceptual impairments</t>
  </si>
  <si>
    <t>NEUROREHABILITATION</t>
  </si>
  <si>
    <t>virtual environments; rehabilitation; autism; aphasia; cognitive; impairment</t>
  </si>
  <si>
    <t>DEFICIT HYPERACTIVITY DISORDER; TRAUMATIC BRAIN INJURY; WORKING-MEMORY; SPONTANEOUS-RECOVERY; EXECUTIVE FUNCTIONS; AUTISTIC-CHILDREN; APHASIA; ATTENTION; COMMUNICATION; THERAPY</t>
  </si>
  <si>
    <t>Features of virtual reality (VR) systems and their value for the investigation and rehabilitation of cognitive and perceptual impairments are briefly described. Current and potential applications of VR technology to address six neurorehabilitation issues are discussed: (1) attention and the reduction of distraction, (2) assessment and remediation of executive function deficits, (3) investigation of impairments of coordinated movement, (4) study and rehabilitation of aphasia and other severe disorders of language, (5) task presentation for functional imaging studies of the brain, and (6) the measurement of mental load in the operation of assistive technology. Finally, a virtual reality system integrated with gaze angle sensing technology is described, and its potential for investigation and rehabilitation of face processing by individuals with autism is discussed.</t>
  </si>
  <si>
    <t>Natl Rehabil Hosp, Assisted Technol Res Ctr, Rehabil Engn Serv, Washington, DC 20010 USA</t>
  </si>
  <si>
    <t>Natl Rehabil Hosp, Assisted Technol Res Ctr, Rehabil Engn Serv, 102 Irving St NW, Washington, DC 20010 USA.</t>
  </si>
  <si>
    <t>cyt1@mhg.edu</t>
  </si>
  <si>
    <t>IOS PRESS</t>
  </si>
  <si>
    <t>NIEUWE HEMWEG 6B, 1013 BG AMSTERDAM, NETHERLANDS</t>
  </si>
  <si>
    <t>1053-8135</t>
  </si>
  <si>
    <t>1878-6448</t>
  </si>
  <si>
    <t>Neurorehabilitation</t>
  </si>
  <si>
    <t>Clinical Neurology; Rehabilitation</t>
  </si>
  <si>
    <t>Neurosciences &amp; Neurology; Rehabilitation</t>
  </si>
  <si>
    <t>191WT</t>
  </si>
  <si>
    <t>WOS:000080045100007</t>
  </si>
  <si>
    <t>Mosher, MA; Carreon, AC; Craig, SL; Ruhter, LC</t>
  </si>
  <si>
    <t>Mosher, Maggie A.; Carreon, Adam C.; Craig, Stephanie L.; Ruhter, Lindsay C.</t>
  </si>
  <si>
    <t>Immersive Technology to Teach Social Skills to Students with Autism Spectrum Disorder: a Literature Review</t>
  </si>
  <si>
    <t>REVIEW JOURNAL OF AUTISM AND DEVELOPMENTAL DISORDERS</t>
  </si>
  <si>
    <t>Virtual reality; Augmented reality; Social skills; Autism spectrum disorder; Systematic review</t>
  </si>
  <si>
    <t>VIRTUAL LEARNING-ENVIRONMENT; AUGMENTED REALITY; QUALITY INDICATORS; HIGHER-EDUCATION; CHILDREN; ADOLESCENTS; INDIVIDUALS; DESIGN; SYSTEM; GAME</t>
  </si>
  <si>
    <t>This study presents the findings of a systematic review of empirical research on the use of augmented reality (AR), virtual reality (VR), mixed reality (MR), and extended reality (XR) to present social skill instruction to school-age students with autism spectrum disorder (ASD). Forty-one articles met the inclusion criteria. Studies targeted relationship skills, emotion recognition, social awareness, cooperation, and executive functioning. The intervention caused statistical improvement in 15 of the 41 studies (37%). Practitioners, parents, and researchers reported significant improvement of social skills in 32 studies (83%). We suggest modifications to the technology and interventions within the technology which may increase statistical gains for students. We conclude with recommendations for researchers and practitioners implementing AR and VR delivered social skill interventions.</t>
  </si>
  <si>
    <t>[Mosher, Maggie A.; Ruhter, Lindsay C.] Univ Kansas, Dept Special Educ, Joseph R Pearson Hall,1122 West Campus Rd, Lawrence, KS 66045 USA; [Carreon, Adam C.] Georgia Southern Univ, POB 8134, Statesboro, GA 30458 USA; [Craig, Stephanie L.] Marietta Coll, 215 Fifth St, Marietta, OH 45750 USA</t>
  </si>
  <si>
    <t>University of Kansas; University System of Georgia; Georgia Southern University; University System of Ohio; Marietta College</t>
  </si>
  <si>
    <t>Mosher, MA (corresponding author), Univ Kansas, Dept Special Educ, Joseph R Pearson Hall,1122 West Campus Rd, Lawrence, KS 66045 USA.</t>
  </si>
  <si>
    <t>mosherku@ku.edu</t>
  </si>
  <si>
    <t>Carreon, Adam/IXN-5008-2023; Mosher, Maggie/AGP-6140-2022</t>
  </si>
  <si>
    <t>Carreon, Adam/0000-0001-9677-8025; Craig, Stephanie/0000-0002-3478-1920; Mosher, Maggie/0000-0001-9079-231X; Ruhter, Lindsay/0000-0003-4570-3466</t>
  </si>
  <si>
    <t>2195-7177</t>
  </si>
  <si>
    <t>2195-7185</t>
  </si>
  <si>
    <t>REV J AUTISM DEV DIS</t>
  </si>
  <si>
    <t>Rev. J. Autism Dev. Disord.</t>
  </si>
  <si>
    <t>10.1007/s40489-021-00259-6</t>
  </si>
  <si>
    <t>APR 2021</t>
  </si>
  <si>
    <t>3P7CF</t>
  </si>
  <si>
    <t>WOS:000645880800001</t>
  </si>
  <si>
    <t>Johnston, D; Egermann, H; Kearney, G</t>
  </si>
  <si>
    <t>Johnston, Daniel; Egermann, Hauke; Kearney, Gavin</t>
  </si>
  <si>
    <t>SoundFields: A Virtual Reality Game Designed to Address Auditory Hypersensitivity in Individuals with Autism Spectrum Disorder</t>
  </si>
  <si>
    <t>APPLIED SCIENCES-BASEL</t>
  </si>
  <si>
    <t>autism spectrum disorders; virtual reality; auditory processing; auditory hypersensitivity; tools for therapy; multisensory; spatial audio; serious games</t>
  </si>
  <si>
    <t>ANXIETY DISORDERS; SERIOUS GAME; CHILDREN; INTERVENTIONS; ADOLESCENTS; PATTERNS; WORKING; SKILLS</t>
  </si>
  <si>
    <t>Individuals with autism spectrum disorder (ASD) are characterised as having impairments in social-emotional interaction and communication, alongside displaying repetitive behaviours and interests. Additionally, they can frequently experience difficulties in processing sensory information with particular prevalence in the auditory domain. Often triggered by everyday environmental sounds, auditory hypersensitivity can provoke self-regulatory fear responses such as crying and isolation from sounds. This paper presents SoundFields, an interactive virtual reality game designed to address this area by integrating exposure based therapy techniques into game mechanics and delivering target auditory stimuli to the player rendered via binaural based spatial audio. A pilot study was conducted with six participants diagnosed with ASD who displayed hypersensitivity to specific sounds to evaluate the use of SoundFields as a tool to reduce levels of anxiety associated with identified problematic sounds. During the course of the investigation participants played the game weekly over four weeks and all participants actively engaged with the virtual reality (VR) environment and enjoyed playing the game. Following this period, a comparison of pre- and post-study measurements showed a significant decrease in anxiety linked to target auditory stimuli. The study results therefore suggest that SoundFields could be an effective tool for helping individuals with autism manage auditory hypersensitivity.</t>
  </si>
  <si>
    <t>[Johnston, Daniel; Kearney, Gavin] Univ York, AudioLab, Commun &amp; Signal Proc Res Grp, Dept Elect Engn, York YO10 5DD, N Yorkshire, England; [Egermann, Hauke] Univ York, York Mus Psychol Grp, Mus Sci &amp; Technol Res Cluster, Dept Mus, York YO10 5DD, N Yorkshire, England; [Johnston, Daniel] Univ York, Commun &amp; Signal Proc Res Grp, Dept Elect Engn, York YO10 5DD, N Yorkshire, England</t>
  </si>
  <si>
    <t>University of York - UK; University of York - UK; University of York - UK</t>
  </si>
  <si>
    <t>Kearney, G (corresponding author), Univ York, AudioLab, Commun &amp; Signal Proc Res Grp, Dept Elect Engn, York YO10 5DD, N Yorkshire, England.</t>
  </si>
  <si>
    <t>dij502@york.ac.uk; hauke.egermann@york.ac.uk; gavin.kearney@york.ac.uk</t>
  </si>
  <si>
    <t>Kearney, Gavin Cyril/0000-0002-0692-236X; Egermann, Hauke/0000-0001-7014-7989; Johnston, Daniel/0000-0002-6427-5383</t>
  </si>
  <si>
    <t>UK Engineering and Physical Sciences Research Council (EPSRC) Doctoral Training Award, via the Department of Electronic Engineering at the University of York, EPSRC [EP/N509802/1]</t>
  </si>
  <si>
    <t>UK Engineering and Physical Sciences Research Council (EPSRC) Doctoral Training Award, via the Department of Electronic Engineering at the University of York, EPSRC(UK Research &amp; Innovation (UKRI)Engineering &amp; Physical Sciences Research Council (EPSRC))</t>
  </si>
  <si>
    <t>Funding was provided by a UK Engineering and Physical Sciences Research Council (EPSRC) Doctoral Training Award, via the Department of Electronic Engineering at the University of York, EPSRC Grant Number: EP/N509802/1.</t>
  </si>
  <si>
    <t>2076-3417</t>
  </si>
  <si>
    <t>APPL SCI-BASEL</t>
  </si>
  <si>
    <t>Appl. Sci.-Basel</t>
  </si>
  <si>
    <t>10.3390/app10092996</t>
  </si>
  <si>
    <t>Chemistry, Multidisciplinary; Engineering, Multidisciplinary; Materials Science, Multidisciplinary; Physics, Applied</t>
  </si>
  <si>
    <t>Chemistry; Engineering; Materials Science; Physics</t>
  </si>
  <si>
    <t>LR2RC</t>
  </si>
  <si>
    <t>Green Accepted, gold</t>
  </si>
  <si>
    <t>WOS:000535541900009</t>
  </si>
  <si>
    <t>Drigas, A; Mitsea, E; Skianis, C</t>
  </si>
  <si>
    <t>Drigas, Athanasios; Mitsea, Eleni; Skianis, Charalabos</t>
  </si>
  <si>
    <t>Virtual Reality and Metacognition Training Techniques for Learning Disabilities</t>
  </si>
  <si>
    <t>SUSTAINABILITY</t>
  </si>
  <si>
    <t>inclusion; education transformation; metacognition; learning disabilities; virtual reality; metacognitive techniques; VR speed learning; VR hypnosis; VR mindfulness; VR neurolinguistic programming; VR breathing training; VR subliminal techniques</t>
  </si>
  <si>
    <t>ARTIFICIAL-INTELLIGENCE; SPECIAL-EDUCATION; SERIOUS GAMES; 8 PILLARS; ICTS; HYPNOSIS; CHILDREN; PRESCHOOL; STUDENTS; DYSCALCULIA</t>
  </si>
  <si>
    <t>The current research aims to investigate the effectiveness of brain-rewiring techniques applied in virtual reality environments as a pioneer intervention for people with learning disabilities and various disorders. In addition, we examine whether these VR-assisted techniques can improve metacognitive skills. Specifically, we emphasize the advantage of VR clinical hypnosis, VR neurolinguistic programming, VR subliminal training, VR fast learning, VR mindfulness, and VR breathing training. The results of this review study revealed that virtual reality provides a fertile ground for the practice of therapeutic metacognitive techniques. In addition, experimental research revealed beneficial effects on learning disabilities, cognitive impairments, autism, ADHD (attention deficit hyperactivity disorder), depression, generalized anxiety disorder, phobias, and behavioral and emotional disorders. It was revealed that VR brain-rewiring techniques constitute effective metacognitive strategies for people with various disorders. Therapists, educators, parents, and even patients could utilize VR brain-rewiring techniques at home, at school, or in the workplace to train the 21st-century meta-abilities. This study also highlights the need to create virtual metacognitive training environments to accelerate inclusion, equity, and peak performance.</t>
  </si>
  <si>
    <t>[Drigas, Athanasios; Mitsea, Eleni] NCSR Demokritos, Net Media Lab, Aghia Paraskevi 15341, Greece; [Drigas, Athanasios; Mitsea, Eleni] NCSR Demokritos, Mind &amp; Brain R&amp;D, Aghia Paraskevi 15341, Greece; [Mitsea, Eleni; Skianis, Charalabos] Univ Aegean, Commun Syst Engn Dept, Mitilini 81100, Greece</t>
  </si>
  <si>
    <t>National Centre of Scientific Research Demokritos; National Centre of Scientific Research Demokritos; University of Aegean</t>
  </si>
  <si>
    <t>Drigas, A (corresponding author), NCSR Demokritos, Net Media Lab, Aghia Paraskevi 15341, Greece.;Drigas, A (corresponding author), NCSR Demokritos, Mind &amp; Brain R&amp;D, Aghia Paraskevi 15341, Greece.</t>
  </si>
  <si>
    <t>dr@iit.demokritos.gr</t>
  </si>
  <si>
    <t>Mitsea, Eleni/GNW-6744-2022</t>
  </si>
  <si>
    <t>DRIGAS, ATHANASIOS/0000-0001-5637-9601; Mitsea, Eleni/0000-0003-4054-6318</t>
  </si>
  <si>
    <t>2071-1050</t>
  </si>
  <si>
    <t>SUSTAINABILITY-BASEL</t>
  </si>
  <si>
    <t>Sustainability</t>
  </si>
  <si>
    <t>10.3390/su141610170</t>
  </si>
  <si>
    <t>Green &amp; Sustainable Science &amp; Technology; Environmental Sciences; Environmental Studies</t>
  </si>
  <si>
    <t>Science &amp; Technology - Other Topics; Environmental Sciences &amp; Ecology</t>
  </si>
  <si>
    <t>4A6DB</t>
  </si>
  <si>
    <t>WOS:000845188400001</t>
  </si>
  <si>
    <t>Bailey, B; Bryant, L; Hemsley, B</t>
  </si>
  <si>
    <t>Bailey, Benjamin; Bryant, Lucy; Hemsley, Bronwyn</t>
  </si>
  <si>
    <t>Virtual Reality and Augmented Reality for Children, Adolescents, and Adults with Communication Disability and Neurodevelopmental Disorders: a Systematic Review</t>
  </si>
  <si>
    <t>Virtual reality; Augmented reality; Communication disability; Neurodevelopmental disorders</t>
  </si>
  <si>
    <t>AUTISM SPECTRUM DISORDER; SOCIAL-SKILLS; LEARNING ENVIRONMENTS; ASPERGER-SYNDROME; YOUNG-ADULTS; SERIOUS GAME; INTERVENTION; DESIGN; PEOPLE; YOUTH</t>
  </si>
  <si>
    <t>This review investigated virtual reality and augmented reality (VR/AR) communication interventions for children, adolescents, and adults with communication disability and neurodevelopmental disorders, as well the feasibility of these technologies. A search of five scientific databases yielded 5385 potentially relevant records of which 69 met inclusion criteria. Studies reported on a wide range of VR/AR devices, platforms, and applications for people with autism spectrum disorder, communication disorders, and intellectual disability. Some VR/AR systems hosted effective communication interventions; however, participant outcomes varied across the included studies. Most participants with neurodevelopmental disorders and their supporters were able to access learning experiences using VR/AR and few adverse effects were reported. Directions for future research are discussed.</t>
  </si>
  <si>
    <t>[Bailey, Benjamin; Bryant, Lucy; Hemsley, Bronwyn] Univ Technol Sydney, POB 123, Ultimo, NSW 2007, Australia; [Bailey, Benjamin] Flinders Univ S Australia, Adelaide, SA, Australia; [Hemsley, Bronwyn] Univ Newcastle, Callaghan, NSW, Australia</t>
  </si>
  <si>
    <t>University of Technology Sydney; Flinders University South Australia; University of Newcastle</t>
  </si>
  <si>
    <t>Hemsley, B (corresponding author), Univ Technol Sydney, POB 123, Ultimo, NSW 2007, Australia.;Hemsley, B (corresponding author), Univ Newcastle, Callaghan, NSW, Australia.</t>
  </si>
  <si>
    <t>Bronwyn.Hemsley@uts.edu.au</t>
  </si>
  <si>
    <t>Bryant, Lucy/AGB-8183-2022; Hemsley, Bronwyn/G-8362-2013; Hemsley, Bronwyn/A-7427-2010</t>
  </si>
  <si>
    <t>Hemsley, Bronwyn/0000-0002-6255-3140; Bailey, Benjamin/0000-0003-0086-9999; Bryant, Lucy/0000-0001-8497-7406</t>
  </si>
  <si>
    <t>10.1007/s40489-020-00230-x</t>
  </si>
  <si>
    <t>1G5UQ</t>
  </si>
  <si>
    <t>Green Submitted</t>
  </si>
  <si>
    <t>WOS:000659411000001</t>
  </si>
  <si>
    <t>Smith, MJ; Pinto, RM; Dawalt, L; Smith, JD; Sherwood, K; Miles, R; Taylor, J; Hume, K; Dawkins, T; Baker-Ericzén, M; Frazier, T; Humm, L; Steacy, C</t>
  </si>
  <si>
    <t>Smith, Matthew J.; Pinto, Rogerio M.; Dawalt, Leann; Smith, J. D.; Sherwood, Kari; Miles, Rashun; Taylor, Julie; Hume, Kara; Dawkins, Tamara; Baker-Ericzen, Mary; Frazier, Thomas; Humm, Laura; Steacy, Chris</t>
  </si>
  <si>
    <t>Using community-engaged methods to adapt virtual reality job-interview training for transition-age youth on the autism spectrum</t>
  </si>
  <si>
    <t>Autism; Transition-age youth; Virtual reality; Job interviewing; Adaptation; Implementation science</t>
  </si>
  <si>
    <t>PROJECT SEARCH; SUPPORTED EMPLOYMENT; YOUNG-ADULTS; COMPETITIVE EMPLOYMENT; INDIVIDUALS; INTERVENTIONS; DISORDERS; OUTCOMES; EDUCATION; CHILDREN</t>
  </si>
  <si>
    <t>Background: Virtual Reality Job-Interview Training (VR-JIT) is an efficacious Internet-based intervention for adults with severe mental illness (SMI). Evaluations of VR-JIT have shown improved interview skill and access to employment in several cohorts of adults with SMI and with autism spectrum disorders (ASD). VR-JIT trains participants how to fill out job applications and handle job interviews through e-learning content and applied practice. Trainees receive feedback through in-the-moment nonverbal cues, critiques, and recommendations for improving performance. Our study sought to adapt VR-JIT for transition-age youth with ASD (TAY-ASD). Methods: We recruited TAY-ASD and adult stakeholders from public and charter schools, transition programs, and community service providers. Participants provided feedback on VR-JIT to enhance its applicability to TAY-ASD. We used community-engaged methods to process and analyze data from TAY-ASD and stakeholders, presented their quantitative and qualitative responses to community and scientific advisory boards for review and recommendations, and adapted the intervention design and content. Results: Our adaptations included adding diversity (gender; race/ethnicity) to the virtual hiring manager; shortening the interview by reducing response options; increasing social storytelling to enhance engagement with VR-JIT core components; adding employment opportunities more relevant to younger workers; reducing the reading level; and making the e-learning content more accessible by adding bullet points, voiceover, and imagery/video; and adding new learning goals. Conclusions: This study presents a rigorous and innovative community-engaged methodology for adapting VR-JIT to meet the needs of TAY-ASD. We review our engagement with TAY-ASD and stakeholders, and discuss the standardized coding scheme we used to adapt VR-JIT and the usefulness and limitations of employing this methodology in adapting other behavioral interventions.</t>
  </si>
  <si>
    <t>[Smith, Matthew J.; Pinto, Rogerio M.; Sherwood, Kari; Miles, Rashun] Univ Michigan, Sch Social Work, 1080 South Univ Ave,Room 3796, Ann Arbor, MI 48109 USA; [Dawalt, Leann] Univ Wisconsin, Sch Social Work, Madison, WI 53706 USA; [Dawalt, Leann] Univ Wisconsin, Waisman Ctr, Madison, WI 53705 USA; [Smith, J. D.] Northwestern Univ, Dept Psychiat &amp; Behav Sci, Feinberg Sch Med, Chicago, IL USA; [Smith, J. D.] Northwestern Univ, Ctr Prevent Implementat Methodol Ce PIM Drug Abus, Feinberg Sch Med, Chicago, IL 60611 USA; [Taylor, Julie] Vanderbilt Univ, Med Ctr, Dept Pediat, Nashville, TN 37232 USA; [Hume, Kara] Univ N Carolina, Sch Educ, Chapel Hill, NC 27515 USA; [Dawkins, Tamara] Univ N Carolina, TEACCH Autism Program, Sch Med, Chapel Hill, NC 27515 USA; [Dawkins, Tamara] Univ N Carolina, Dept Psychiat, Sch Med, Chapel Hill, NC 27515 USA; [Baker-Ericzen, Mary] Rady Childrens Hosp, Child &amp; Adolescent Serv Res Ctr, San Diego, CA USA; [Frazier, Thomas] Autism Speaks, New York, NY USA; [Humm, Laura; Steacy, Chris] SIMmersion LLC, Columbia, MD USA</t>
  </si>
  <si>
    <t>University of Michigan System; University of Michigan; University of Wisconsin System; University of Wisconsin Madison; University of Wisconsin System; University of Wisconsin Madison; Northwestern University; Feinberg School of Medicine; Northwestern University; Feinberg School of Medicine; Vanderbilt University; University of North Carolina; University of North Carolina Chapel Hill; University of North Carolina School of Medicine; University of North Carolina; University of North Carolina Chapel Hill; University of North Carolina School of Medicine; University of North Carolina; University of North Carolina Chapel Hill; Rady Childrens Hospital San Diego</t>
  </si>
  <si>
    <t>Smith, MJ (corresponding author), Univ Michigan, Sch Social Work, 1080 South Univ Ave,Room 3796, Ann Arbor, MI 48109 USA.</t>
  </si>
  <si>
    <t>Taylor, Julie/KWU-8803-2024; Smith, Matthew/ACM-2138-2022; Baker-Ericzen, Mary/AAQ-9715-2021; Sherwood, Kari/KWU-1492-2024</t>
  </si>
  <si>
    <t>Sherwood, Kari/0000-0003-2157-2174; Frazier, Thomas/0000-0002-6951-2667; Humm, Laura/0000-0002-9642-1453; DAWALT, LEANN/0000-0002-0376-4095; Smith, Matthew/0000-0002-0079-1477</t>
  </si>
  <si>
    <t>This study was funded by the National Institute of Mental Health (R34 MH111531, PI: Matthew Smith).</t>
  </si>
  <si>
    <t>THE BOULEVARD, LANGFORD LANE, KIDLINGTON, OXFORD OX5 1GB, OXON, ENGLAND</t>
  </si>
  <si>
    <t>10.1016/j.rasd.2019.101498</t>
  </si>
  <si>
    <t>KO0CF</t>
  </si>
  <si>
    <t>WOS:000515213200004</t>
  </si>
  <si>
    <t>Ke, FF; Lee, S</t>
  </si>
  <si>
    <t>Ke, Fengfeng; Lee, Sungwoong</t>
  </si>
  <si>
    <t>Virtual reality based collaborative design by children with high-functioning autism: design-based flexibility, identity, and normconstruction</t>
  </si>
  <si>
    <t>virtual reality; constructionism; design-based learning; autism; social skills training</t>
  </si>
  <si>
    <t>SOCIAL-SKILLS; ASPERGER-SYNDROME; ADOLESCENTS; SPECTRUM; PEOPLE; INTERVENTION; ENVIRONMENTS; ADULTS</t>
  </si>
  <si>
    <t>This exploratory case study examined the process and potential impact of collaborative architectural design and construction in an OpenSimulator-based virtual reality (VR) on the social skills development of children with high-functioning autism (HFA). Two children with a formal medical diagnosis of HFA and one typically developing peer, aged 8-11, were purposefully recruited and matched in a five-week, VR-based architectural design project. Participants' virtual behaviors and discourses were observed and archived via screen recording. We conducted qualitative time-series and micro-behavior analyses with the data collected. The findings demonstrated that VR-based collaborative design has awarded children with HFA an opportunity to practice and develop flexibility, identity, and norm construction. The target children's design-based social performance was mediated by the VR environment, the context or structure of design partnership, and the nature of a specific design task.</t>
  </si>
  <si>
    <t>[Ke, Fengfeng] Florida State Univ, Dept Educ Psychol &amp; Learning Syst, Educ, Tallahassee, FL 32306 USA; [Lee, Sungwoong] Florida State Univ, Dept Educ Psychol &amp; Learning Syst, Tallahassee, FL 32306 USA</t>
  </si>
  <si>
    <t>Ke, FF (corresponding author), Florida State Univ, Dept Educ Psychol &amp; Learning Syst, Educ, Tallahassee, FL 32306 USA.</t>
  </si>
  <si>
    <t>Ke, Fengfeng/0000-0003-4203-1203</t>
  </si>
  <si>
    <t>10.1080/10494820.2015.1040421</t>
  </si>
  <si>
    <t>EA5QA</t>
  </si>
  <si>
    <t>WOS:000386675300009</t>
  </si>
  <si>
    <t>Courgeon, M; Rautureau, G; Martin, JC; Grynszpan, O</t>
  </si>
  <si>
    <t>Courgeon, Matthieu; Rautureau, Gilles; Martin, Jean-Claude; Grynszpan, Ouriel</t>
  </si>
  <si>
    <t>Joint Attention Simulation Using Eye-Tracking and Virtual Humans</t>
  </si>
  <si>
    <t>Interaction techniques; virtual reality; evaluation/methodology; handicapped persons/special needs</t>
  </si>
  <si>
    <t>AUTISM SPECTRUM DISORDER; SOCIAL COGNITION; GAZE DIRECTION; VISUAL-ATTENTION; CHILDREN; PERCEPTION; FIXATION; LOOKING; ADULTS; PERFORMANCE</t>
  </si>
  <si>
    <t>This article analyses the issues pertaining to the simulation of joint attention with virtual humans. Gaze represents a powerful communication channel illustrated by the pivotal role of joint attention in social interactions. To our knowledge, there have been only few attempts to simulate gazing patterns associated with joint attention as a mean for developing empathic virtual agents. Eye-tracking technologies now enable creating non-invasive gaze-contingent systems that empower the user with the ability to lead a virtual human's focus of attention in real-time. Although gaze control can be deliberate, most of our visual behaviors in everyday life are not. This article reports empirical data suggesting that users only have partial awareness of controlling gaze-contingent displays. The technical challenges induced by detecting the user's focus of attention in virtual reality are reviewed and several solutions are compared. We designed and tested a platform for creating virtual humans endowed with the ability to follow the user's attention. The article discusses the advantages of simulating joint attention for improving interpersonal skills and user engagement. Joint attention plays a major role in the development of autism. The platform we designed is intended for research and treatment of autism and tests included participants with this disorder.</t>
  </si>
  <si>
    <t>[Courgeon, Matthieu] Univ Bretagne Sud, Lab STICC, F-29238 Brest 3, France; [Rautureau, Gilles] Hop La Pitie Salpetriere, Emot Ctr, CNRS, USR 3246, F-75651 Paris, France; [Martin, Jean-Claude] Univ Paris 11, CNRS, LIMSI, F-91403 Orsay, France; [Grynszpan, Ouriel] Univ Paris 06, Hop La Pitie Salpetriere, Emot Ctr, CNRS USR 3246, F-75651 Paris, France</t>
  </si>
  <si>
    <t>Sorbonne Universite; Centre National de la Recherche Scientifique (CNRS); Assistance Publique Hopitaux Paris (APHP); Hopital Universitaire Pitie-Salpetriere - APHP; Universite Paris Saclay; Centre National de la Recherche Scientifique (CNRS); Centre National de la Recherche Scientifique (CNRS); Sorbonne Universite; Assistance Publique Hopitaux Paris (APHP); Hopital Universitaire Pitie-Salpetriere - APHP</t>
  </si>
  <si>
    <t>Courgeon, M (corresponding author), Univ Bretagne Sud, Lab STICC, F-29238 Brest 3, France.</t>
  </si>
  <si>
    <t>courgeon@gmail.com; gilles.rautureau@upmc.fr; martin@limsi.fr; ouriel.grynszpan@upmc.fr</t>
  </si>
  <si>
    <t>La Fondation Orange [71/2012]; La Fondation de France et La Fondation Adrienne et Pierre Sommer [2007 005874]; L'Agence Nationale de la Recherche [ANR 12 SAMA 011 01]</t>
  </si>
  <si>
    <t>La Fondation Orange; La Fondation de France et La Fondation Adrienne et Pierre Sommer; L'Agence Nationale de la Recherche(Agence Nationale de la Recherche (ANR))</t>
  </si>
  <si>
    <t>The authors wish to thank Rachel Dupuis and Aliye Karasu for experimental assistance. We are very grateful to Jacqueline Nadel for her advices in experimental design. This work was supported by grants from La Fondation Orange (project #71/2012, coordinator: O. Grynszpan), La Fondation de France et La Fondation Adrienne et Pierre Sommer (project #2007 005874, coordinator: O. Grynszpan) and L'Agence Nationale de la Recherche (project #ANR 12 SAMA 011 01, coordinator: P. Fossati). The corresponding author is Ouriel Grynszpan (ouriel.grynszpan@upmc.fr).</t>
  </si>
  <si>
    <t>10.1109/TAFFC.2014.2335740</t>
  </si>
  <si>
    <t>AS9WP</t>
  </si>
  <si>
    <t>WOS:000344589600005</t>
  </si>
  <si>
    <t>Using the Virtual Reality-Cognitive Rehabilitation Approach to Improve Contextual Processing in Children with Autism</t>
  </si>
  <si>
    <t>SCIENTIFIC WORLD JOURNAL</t>
  </si>
  <si>
    <t>HIGH-FUNCTIONING AUTISM; SINGLE-SUBJECT RESEARCH; ASPERGER-SYNDROME; CENTRAL COHERENCE; FLEXIBILITY; ADOLESCENTS; ENVIRONMENTS; OBJECTS; ADULTS</t>
  </si>
  <si>
    <t>Background. This pilot study investigated the efficacy of a novel virtual reality-cognitive rehabilitation (VR-CR) intervention to improve contextual processing of objects in children with autism. Previous research supports that children with autism show deficits in contextual processing, as well as deficits in its elementary components: abstraction and cognitive flexibility. Methods. Four children with autism participated in a multiple-baseline, single-subject study. The children were taught how to see objects in context by reinforcing attention to pivotal contextual information. Results. All children demonstrated statistically significant improvements in contextual processing and cognitive flexibility. Mixed results were found on the control test and changes in context-related behaviours. Conclusions. Larger-scale studies are warranted to determine the effectiveness and usability in comprehensive educational programs.</t>
  </si>
  <si>
    <t>[Wang, Michelle] Queens Univ, Off Undergrad Med Educ, Kingston, ON K7L 3N6, Canada; [Reid, Denise] Univ Toronto, Virtual Real &amp; Neurorehabil Lab, Toronto, ON M5G 1V7, Canada</t>
  </si>
  <si>
    <t>Queens University - Canada; University of Toronto</t>
  </si>
  <si>
    <t>Wang, M (corresponding author), Queens Univ, Off Undergrad Med Educ, 80 Barrie St, Kingston, ON K7L 3N6, Canada.</t>
  </si>
  <si>
    <t>Canadian Institutes in Health Research; William Courtney Clayton Paediatric Research Award; Ontario Council of Graduate Studies Autism Scholar's Award</t>
  </si>
  <si>
    <t>Canadian Institutes in Health Research(Canadian Institutes of Health Research (CIHR)); William Courtney Clayton Paediatric Research Award; Ontario Council of Graduate Studies Autism Scholar's Award</t>
  </si>
  <si>
    <t>This study has been supported by the following Grants awarded to the first author: Canadian Institutes in Health Research 2008-09 Master's Award, Hilda and William Courtney Clayton Paediatric Research Award 2008-09, and Ontario Council of Graduate Studies Autism Scholar's Award 2009-10. This paper was prepared from a Masters thesis by the first author. The authors give thanks to Bloorview Kids Rehab, Autism Ontario and the Geneva Centre for help with recruitment. Special thanks to Fan (Mimi) Zhang for technical support, and Luigi Girolametto and Tom Chau for their mentorship and valuable feedback throughout the project.</t>
  </si>
  <si>
    <t>HINDAWI LTD</t>
  </si>
  <si>
    <t>ADAM HOUSE, 3RD FLR, 1 FITZROY SQ, LONDON, W1T 5HF, ENGLAND</t>
  </si>
  <si>
    <t>1537-744X</t>
  </si>
  <si>
    <t>SCI WORLD J</t>
  </si>
  <si>
    <t>Sci. World J.</t>
  </si>
  <si>
    <t>10.1155/2013/716890</t>
  </si>
  <si>
    <t>256SN</t>
  </si>
  <si>
    <t>WOS:000327334300001</t>
  </si>
  <si>
    <t>Ali, SG; Wang, XN; Li, P; Jung, YHY; Bi, L; Kim, J; Chen, YT; Feng, DD; Thalmann, NM; Wang, JH; Sheng, B</t>
  </si>
  <si>
    <t>Ali, Saba Ghazanfar; Wang, Xiangning; Li, Ping; Jung, Younhyun; Bi, Lei; Kim, Jinman; Chen, Yuting; Feng, David Dagan; Magnenat Thalmann, Nadia; Wang, Jihong; Sheng, Bin</t>
  </si>
  <si>
    <t>A systematic review: Virtual-reality-based techniques for human exercises and health improvement</t>
  </si>
  <si>
    <t>FRONTIERS IN PUBLIC HEALTH</t>
  </si>
  <si>
    <t>virtual reality; myopia; amblyopia; presbyopia; age-related macular degeneration; Alzheimer; multiple sclerosis; epilepsy</t>
  </si>
  <si>
    <t>AUTISM SPECTRUM DISORDER; GLOBAL PREVALENCE; VIDEO GAME; MULTIPLE-SCLEROSIS; TEMPORAL TRENDS; OLDER CHILDREN; AMBLYOPIA; ADULTS; MYOPIA; REHABILITATION</t>
  </si>
  <si>
    <t>Virtual Reality (VR) has emerged as a new safe and efficient tool for the rehabilitation of many childhood and adulthood illnesses. VR-based therapies have the potential to improve both motor and functional skills in a wide range of age groups through cortical reorganization and the activation of various neuronal connections. Recently, the potential for using serious VR-based games that combine perceptual learning and dichoptic stimulation has been explored for the rehabilitation of ophthalmological and neurological disorders. In ophthalmology, several clinical studies have demonstrated the ability to use VR training to enhance stereopsis, contrast sensitivity, and visual acuity. The use of VR technology provides a significant advantage in training each eye individually without requiring occlusion or penalty. In neurological disorders, the majority of patients undergo recurrent episodes (relapses) of neurological impairment, however, in a few cases (60-80%), the illness progresses over time and becomes chronic, consequential in cumulated motor disability and cognitive deficits. Current research on memory restoration has been spurred by theories about brain plasticity and findings concerning the nervous system's capacity to reconstruct cellular synapses as a result of interaction with enriched environments. Therefore, the use of VR training can play an important role in the improvement of cognitive function and motor disability. Although there are several reviews in the community employing relevant Artificial Intelligence in healthcare, VR has not yet been thoroughly examined in this regard. In this systematic review, we examine the key ideas of VR-based training for prevention and control measurements in ocular diseases such as Myopia, Amblyopia, Presbyopia, and Age-related Macular Degeneration (AMD), and neurological disorders such as Alzheimer, Multiple Sclerosis (MS) Epilepsy and Autism spectrum disorder. This review highlights the fundamentals of VR technologies regarding their clinical research in healthcare. Moreover, these findings will raise community awareness of using VR training and help researchers to learn new techniques to prevent and cure different diseases. We further discuss the current challenges of using VR devices, as well as the future prospects of human training.</t>
  </si>
  <si>
    <t>[Ali, Saba Ghazanfar; Chen, Yuting; Sheng, Bin] Shanghai Jiao Tong Univ, Dept Comp Sci &amp; Engn, Shanghai, Peoples R China; [Wang, Xiangning] Shanghai Jiao Tong Univ, Shanghai Peoples Hosp 6, Sch Med, Dept Ophthalmol, Shanghai, Peoples R China; [Li, Ping] Hong Kong Polytech Univ, Dept Comp, Hong Kong, Peoples R China; [Li, Ping] Hong Kong Polytech Univ, Sch Design, Hong Kong, Peoples R China; [Jung, Younhyun] Gachon Univ, Sch Comp, Seongnam, South Korea; [Bi, Lei; Kim, Jinman; Feng, David Dagan] Univ Sydney, Sch Comp Sci, Biomed &amp; Multimedia Informat Technol Res Grp, Sydney, NSW, Australia; [Magnenat Thalmann, Nadia] Univ Geneva, MIRALab, Geneva, Switzerland; [Wang, Jihong] Shanghai Univ Sport, Shanghai, Peoples R China</t>
  </si>
  <si>
    <t>Shanghai Jiao Tong University; Shanghai Jiao Tong University; Hong Kong Polytechnic University; Hong Kong Polytechnic University; Gachon University; University of Sydney; University of Geneva; Shanghai University of Sport</t>
  </si>
  <si>
    <t>Sheng, B (corresponding author), Shanghai Jiao Tong Univ, Dept Comp Sci &amp; Engn, Shanghai, Peoples R China.</t>
  </si>
  <si>
    <t>shengbin@sjtu.edu.cn</t>
  </si>
  <si>
    <t>Ali, saba/ABD-4223-2020; Kim, Jin Man/HJO-8987-2023; Wang, Yanan/JVZ-7957-2024; Li, Ping/AAO-2019-2020; kim, jinman/ADL-4215-2022; Sheng, Bin/LMO-9532-2024; Thalmann, Nadia/AAK-5195-2021</t>
  </si>
  <si>
    <t>National Natural Science Foundation of China [62272298]; Hong Kong Polytechnic University [P0030419]; College-level Project Fund of Shanghai Sixth People's Hospital [ynlc201909]; Interdisciplinary Program of Shanghai Jiao Tong University [YG2022QN089]</t>
  </si>
  <si>
    <t>National Natural Science Foundation of China(National Natural Science Foundation of China (NSFC)); Hong Kong Polytechnic University(Hong Kong Polytechnic University); College-level Project Fund of Shanghai Sixth People's Hospital; Interdisciplinary Program of Shanghai Jiao Tong University</t>
  </si>
  <si>
    <t>Funding This research was funded by the National Natural Science Foundation of China (Grant No. 62272298), the Hong Kong Polytechnic University (Grant No. P0030419), the College-level Project Fund of Shanghai Sixth People's Hospital (Grant No. ynlc201909), and the Interdisciplinary Program of Shanghai Jiao Tong University (Project No. YG2022QN089).</t>
  </si>
  <si>
    <t>2296-2565</t>
  </si>
  <si>
    <t>FRONT PUBLIC HEALTH</t>
  </si>
  <si>
    <t>Front. Public Health</t>
  </si>
  <si>
    <t>MAR 23</t>
  </si>
  <si>
    <t>10.3389/fpubh.2023.1143947</t>
  </si>
  <si>
    <t>C7YH1</t>
  </si>
  <si>
    <t>WOS:000964023600001</t>
  </si>
  <si>
    <t>Design of a Physiology-Sensitive VR-Based Social Communication Platform for Children With Autism</t>
  </si>
  <si>
    <t>Anxiety; autism; physiology; virtual reality</t>
  </si>
  <si>
    <t>SPECTRUM DISORDERS; VIRTUAL-REALITY; RECOGNITION; ADOLESCENTS</t>
  </si>
  <si>
    <t>Individuals with autism are often characterized by impairments in communication, reciprocal social interaction and explicit expression of their affective states. In conventional techniques, a therapist adjusts the intervention paradigm by monitoring the affective state e.g., anxiety of these individuals for effective floor-time-therapy. Conventional techniques, though powerful, are observation-based and face resource limitations. Technology-assisted systems can provide a quantitative, individualized rehabilitation platform. Presently-available systems are designed primarily to chain learning via aspects of one's performance alone restricting individualization. Specifically, these systems are not sensitive to one's anxiety. Our presented work seeks to bridge this gap by developing a novel VR-based interactive system with Anxiety-Sensitive adaptive technology. Specifically, such a system is capable of objectively identifying and quantifying one's anxiety level from real-time biomarkers, along with performance metrics. In turn it can adaptively respond in an individualized manner to foster improved social communication skills. In our present research, we have used Virtual Reality (VR) to design a proof-of-concept application that exposes participants to social tasks of varying challenges. Results of a preliminary usability study indicate the potential of our VR-based Anxiety-Sensitive system to foster improved task performance, thereby serving as a potent complementary tool in the hands of therapist.</t>
  </si>
  <si>
    <t>[Kuriakose, Selvia; Lahiri, Uttama] Indian Inst Technol, Elect Engn, Gandhinagar, India</t>
  </si>
  <si>
    <t>Kuriakose, S (corresponding author), Indian Inst Technol, Elect Engn, Gandhinagar, India.</t>
  </si>
  <si>
    <t>This work was supported by internal funding from Indian Institute of Technology, Gandhinagar, India.</t>
  </si>
  <si>
    <t>10.1109/TNSRE.2016.2613879</t>
  </si>
  <si>
    <t>FD4CD</t>
  </si>
  <si>
    <t>WOS:000407478000011</t>
  </si>
  <si>
    <t>Lányi, CS; Tilinger, A</t>
  </si>
  <si>
    <t>Miesenberger, K; Klaus, J; Zagler, W; Burger, D</t>
  </si>
  <si>
    <t>Multimedia and virtual reality in the rehabilitation of autistic children</t>
  </si>
  <si>
    <t>COMPUTERS HELPING PEOPLE WITH SPECIAL NEEDS: PROCEEDINGS</t>
  </si>
  <si>
    <t>Lecture Notes in Computer Science</t>
  </si>
  <si>
    <t>9th International Conference on Computers Helping People with Special Needs</t>
  </si>
  <si>
    <t>JUL 07-09, 2004</t>
  </si>
  <si>
    <t>Paris, FRANCE</t>
  </si>
  <si>
    <t>At present autism is beyond recovery, thus the only way that autistic children can adapt themselves to grown-up life is rehabilitation. As the application of computers becomes more and more general in teaching healthy children so does it in teaching children with learning disabilities. Thence a multimedia and virtual reality software package was designed for the rehabilitation of autistic children. This paper presents the developed programs and the results of their usability test.</t>
  </si>
  <si>
    <t>Univ Veszprem, Dept Image Proc &amp; Neurocomp, H-8200 Veszprem, Hungary</t>
  </si>
  <si>
    <t>University of Pannonia</t>
  </si>
  <si>
    <t>Univ Veszprem, Dept Image Proc &amp; Neurocomp, Egyetem U10, H-8200 Veszprem, Hungary.</t>
  </si>
  <si>
    <t>tilinger@vision.vein.hu</t>
  </si>
  <si>
    <t>SPRINGER-VERLAG BERLIN</t>
  </si>
  <si>
    <t>BERLIN</t>
  </si>
  <si>
    <t>HEIDELBERGER PLATZ 3, D-14197 BERLIN, GERMANY</t>
  </si>
  <si>
    <t>0302-9743</t>
  </si>
  <si>
    <t>1611-3349</t>
  </si>
  <si>
    <t>3-540-22334-7</t>
  </si>
  <si>
    <t>LECT NOTES COMPUT SC</t>
  </si>
  <si>
    <t>Computer Science, Interdisciplinary Applications; Computer Science, Theory &amp; Methods; Rehabilitation</t>
  </si>
  <si>
    <t>Conference Proceedings Citation Index - Science (CPCI-S); Science Citation Index Expanded (SCI-EXPANDED)</t>
  </si>
  <si>
    <t>Computer Science; Rehabilitation</t>
  </si>
  <si>
    <t>BAK50</t>
  </si>
  <si>
    <t>WOS:000222635100004</t>
  </si>
  <si>
    <t>Biffi, E; Costantini, C; Ceccarelli, SB; Cesareo, A; Marzocchi, GM; Nobile, M; Molteni, M; Crippa, A</t>
  </si>
  <si>
    <t>Biffi, Emilia; Costantini, Cristina; Ceccarelli, Silvia Busti; Cesareo, Ambra; Marzocchi, Gian Marco; Nobile, Maria; Molteni, Massimo; Crippa, Alessandro</t>
  </si>
  <si>
    <t>Gait Pattern and Motor Performance During Discrete Gait Perturbation in Children With Autism Spectrum Disorders</t>
  </si>
  <si>
    <t>FRONTIERS IN PSYCHOLOGY</t>
  </si>
  <si>
    <t>autism spectrum disorder; gait analysis; motor adaptation; dual-belt treadmill; virtual reality</t>
  </si>
  <si>
    <t>MOVEMENT; CEREBELLAR; DISTURBANCES; TODDLERS; WALKING; SYSTEM</t>
  </si>
  <si>
    <t>Quantitative evaluation of gait has been considered a useful tool with which to identify subtle signs of motor system peculiarities in autism spectrum disorder (ASD). However, there is a paucity of studies reporting gait data in ASD as well as investigating learning processes of locomotor activity. Novel advanced technologies that couple treadmills with virtual reality environments and motion capture systems allows the evaluation of gait patterns on multiple steps and the effects of induced gait perturbations, as well as the ability to manipulate visual and proprioceptive feedbacks. This study aims at describing the gait pattern and motor performance during discrete gait perturbation of drug-naive, school-aged children with ASD compared to typically developing (TD) peers matched by gender and age. Gait analysis was carried out in an immersive virtual environment using a 3-D motion analysis system with a dual-belt, instrumented treadmill. After 6 min of walking, 20 steps were recorded as baseline. Then, each participant was exposed to 20 trials with a discrete gait perturbation applying a split-belt acceleration to the dominant side at toe-off. Single steps around perturbations were inspected. Finally, 20 steps were recorded during a post-perturbation session. At baseline, children with ASD had reduced ankle flexion moment, greater hip flexion at the initial contact, and greater pelvic anteversion. After the discrete gait perturbation, variations of peak of knee extension significantly differed between groups and correlated with the severity of autistic core symptoms. Throughout perturbation trials, more than 60% of parameters showed reliable adaptation with a decay rate comparable between groups. Overall, these findings depicted gait peculiarities in children with ASD, including both kinetic and kinematic features; a motor adaptation comparable to their TD peers, even though with an atypical pattern; and a motor adaptation rate comparable to TD children but involving different aspects of locomotion. The platform showed its usability with children with ASD and its reliability in the definition of paradigms for the study of motor learning while doing complex tasks, such as gait. The additional possibility to accurately manipulate visual and proprioceptive feedback will allow researchers to systematically investigate motor system features in people with ASD.</t>
  </si>
  <si>
    <t>[Biffi, Emilia; Ceccarelli, Silvia Busti; Nobile, Maria; Molteni, Massimo; Crippa, Alessandro] IRCCS E Medea, Sci Inst, Lecce, Italy; [Costantini, Cristina; Marzocchi, Gian Marco] Univ Milano Bicocca, Dept Psychol, Milan, Italy; [Cesareo, Ambra] Politecn Milan, Dept Elect Informat &amp; Bioengn, Milan, Italy</t>
  </si>
  <si>
    <t>IRCCS Eugenio Medea; University of Milano-Bicocca; Polytechnic University of Milan</t>
  </si>
  <si>
    <t>Crippa, A (corresponding author), IRCCS E Medea, Sci Inst, Lecce, Italy.</t>
  </si>
  <si>
    <t>alessandro.crippa@lanostrafamiglia.it</t>
  </si>
  <si>
    <t>Cesareo, Ambra/M-4357-2019; Molteni, Massimo/AHD-4792-2022; Crippa, Alessandro/R-4642-2019; Busti Ceccarelli, Silvia/ABH-9661-2020; Biffi, Emilia/B-7982-2012; Molteni, Massimo/K-8856-2016; Nobile, Maria/B-3683-2013</t>
  </si>
  <si>
    <t>Costantini, Cristina/0009-0006-4328-6418; Crippa, Alessandro/0000-0002-3407-0352; Busti Ceccarelli, Silvia/0000-0001-6809-4523; Biffi, Emilia/0000-0002-2568-9735; Molteni, Massimo/0000-0001-6268-5883; Nobile, Maria/0000-0002-9917-4275; Cesareo, Ambra/0000-0003-4334-7488</t>
  </si>
  <si>
    <t>Italian Ministry of Health [GR-2011-02348929]</t>
  </si>
  <si>
    <t>Italian Ministry of Health(Ministry of Health, Italy)</t>
  </si>
  <si>
    <t>This research was supported by grant from the Italian Ministry of Health to Dr. Crippa (Ricerca Finalizzata GR-2011-02348929; Ricerca Corrente 2018-20, Progetto Mosaico).</t>
  </si>
  <si>
    <t>1664-1078</t>
  </si>
  <si>
    <t>FRONT PSYCHOL</t>
  </si>
  <si>
    <t>Front. Psychol.</t>
  </si>
  <si>
    <t>DEC 11</t>
  </si>
  <si>
    <t>10.3389/fpsyg.2018.02530</t>
  </si>
  <si>
    <t>HD9UJ</t>
  </si>
  <si>
    <t>WOS:000452908300002</t>
  </si>
  <si>
    <t>Zhao, JQ; Zhang, XX; Lu, Y; Wu, XY; Zhou, FJ; Yang, SC; Wang, LP; Wu, XY; Fei, FR</t>
  </si>
  <si>
    <t>Zhao, Junqiang; Zhang, Xinxin; Lu, Yi; Wu, Xingyang; Zhou, Fujun; Yang, Shichang; Wang, Luping; Wu, Xiaoyan; Fei, Fangrong</t>
  </si>
  <si>
    <t>Virtual reality technology enhances the cognitive and social communication of children with autism spectrum disorder</t>
  </si>
  <si>
    <t>autism spectrum disorder; virtual reality; cognition; social communication; developmental ability; nursing information</t>
  </si>
  <si>
    <t>QUALITY-OF-LIFE; BEHAVIORS</t>
  </si>
  <si>
    <t>ObjectiveWe aimed to explore the impact of using virtual reality technology to intervene in and encourage the developmental behavior areas of cognition, imitation, and social interaction in children with autism spectrum disorder. MethodsForty-four children with autism spectrum disorder were divided randomly into an intervention group and a control group, with each group consisting of 22 participants. Incorporating conventional rehabilitation strategies, virtual reality technology was used with the intervention group to conduct rehabilitation training in areas including cognition, imitation, and social interaction. The control group was provided conventional/routine clinical rehabilitation training. The children's cognitive development was evaluated before and 3 months after intervention. ResultsAfter intervention, the developmental abilities of both groups of children in the areas of cognition, imitation, and social interaction were improved over their abilities measured before the intervention (P &lt; 0.05). However, post-intervention score differences between the two groups demonstrated that the intervention group levels were better than the control group levels only in the areas of cognition and social interaction (P &lt; 0.05). ConclusionCombining virtual reality with conventional rehabilitation training improved the cognitive and social development of children with autism spectrum disorder and supported the goal of improving the rehabilitation effect.</t>
  </si>
  <si>
    <t>[Zhao, Junqiang; Zhou, Fujun; Wang, Luping] Xinxiang Med Univ, Affiliated Hosp 1, Dept Children Rehabil, Xinxiang, Peoples R China; [Zhao, Junqiang; Zhang, Xinxin; Lu, Yi; Wu, Xingyang] Xinxiang Key Lab Med Virtual Real &amp; Augmented Real, Xinxiang, Peoples R China; [Zhao, Junqiang; Zhang, Xinxin; Lu, Yi; Wu, Xingyang] Xinxiang Intelligent Image Diag Engn Technol Res C, Xinxiang, Peoples R China; [Zhang, Xinxin; Lu, Yi] Xinxiang Med Univ, Dept Nursing, Xinxiang, Peoples R China; [Wu, Xingyang] Xinxiang Med Univ, Dept Med Engn, Xinxiang, Peoples R China; [Yang, Shichang] Xinxiang Med Univ, Affiliated Hosp 2, Dept Psychiat, Xinxiang, Peoples R China; [Wu, Xiaoyan] Huzhou Maternal &amp; Child Hlth Care Hosp, Dept Nursing, Huzhou, Peoples R China; [Fei, Fangrong] Zhejiang Prov Ctr Dis Control &amp; Prevent, Hangzhou, Peoples R China</t>
  </si>
  <si>
    <t>Xinxiang Medical University; Xinxiang Medical University; Xinxiang Medical University; Xinxiang Medical University; Zhejiang Provincial Center for Disease Control &amp; Prevention</t>
  </si>
  <si>
    <t>Wu, XY (corresponding author), Huzhou Maternal &amp; Child Hlth Care Hosp, Dept Nursing, Huzhou, Peoples R China.;Fei, FR (corresponding author), Zhejiang Prov Ctr Dis Control &amp; Prevent, Hangzhou, Peoples R China.</t>
  </si>
  <si>
    <t>wuxiaoyan0704@139.com; frfei@cdc.zj.cn</t>
  </si>
  <si>
    <t>, Lucky/ABE-2834-2020; xinxin, zhang/IYS-4515-2023; wu, xing yang/AEJ-1432-2022</t>
  </si>
  <si>
    <t>wu, xing yang/0000-0001-9017-4028</t>
  </si>
  <si>
    <t>Key R&amp;D and Promotion Projects in Henan Province [222102310615]; Henan Province Medical Science and Technology Key Project Jointly Constructed by Province and Ministr [SBGJ202102189]; Research on Visualization Construction of TAVR Therapy Based on Virtual Reality Technology [XZZX2022011]</t>
  </si>
  <si>
    <t>Key R&amp;D and Promotion Projects in Henan Province; Henan Province Medical Science and Technology Key Project Jointly Constructed by Province and Ministr; Research on Visualization Construction of TAVR Therapy Based on Virtual Reality Technology</t>
  </si>
  <si>
    <t>The work was financially supported the Key R&amp;D and Promotion Projects in Henan Province (222102310615), Henan Province Medical Science and Technology Key Project Jointly Constructed by Province and Ministry (SBGJ202102189), and Research on Visualization Construction of TAVR Therapy Based on Virtual Reality Technology (XZZX2022011).</t>
  </si>
  <si>
    <t>OCT 6</t>
  </si>
  <si>
    <t>10.3389/fpubh.2022.1029392</t>
  </si>
  <si>
    <t>6I3XP</t>
  </si>
  <si>
    <t>WOS:000886061500001</t>
  </si>
  <si>
    <t>Amat, AZ; Zhao, H; Swanson, A; Weitlauf, AS; Warren, Z; Sarkar, N</t>
  </si>
  <si>
    <t>Amat, Ashwaq Z.; Zhao, Huan; Swanson, Amy; Weitlauf, Amy S.; Warren, Zachary; Sarkar, Nilanjan</t>
  </si>
  <si>
    <t>Design of an Interactive Virtual Reality System, InViRS, for Joint Attention Practice in Autistic Children</t>
  </si>
  <si>
    <t>Games; Avatars; Real-time systems; Autism; Visualization; Licenses; Adaptive systems; Intelligent system; autonomous systems; virtual reality; human computer interaction; gaze tracking; joint attention; Autism</t>
  </si>
  <si>
    <t>MOST PROMPTING PROCEDURE; SPECTRUM DISORDER; HUMAN INFANTS; EYE-TRACKING; LEAST; INTERVENTIONS; INDIVIDUALS; SKILLS; HEAD</t>
  </si>
  <si>
    <t>Many children with Autism Spectrum Disorder (ASD) exhibit atypical gaze behaviors related to joint attention, a fundamental social-communication skill. Specifically, children with ASD show differences in the skills of gaze sharing and gaze following. In this work we present a novel virtual reality (VR)-based system, called InViRS, in which children with ASD play games allowing them to practice gaze sharing and gaze following. InViRS has three main design contributions: (i) a closed-loop joint attention paradigm with real-time tracking of the participant's eye gaze and game performance measures, (ii) an assistive feedback mechanism that provides guidance and hints in real time, and (iii) a controller that adaptively changes the avatar's gaze prompts according to the performance measures. Results from a pilot study to evaluate the feasibility of InViRS with 9 autistic(1) children and 9 typically developing (TD) children offered preliminary support for the feasibility of successful gameplay as well as positive impacts on the targeted skills of gaze sharing and gaze following.</t>
  </si>
  <si>
    <t>[Amat, Ashwaq Z.; Zhao, Huan] Vanderbilt Univ, Robot &amp; Autonomous Syst Lab, Dept Elect Engn &amp; Comp Sci, Nashville, TN 37235 USA; [Swanson, Amy] Vanderbilt Kennedy Ctr, Treatment &amp; Res Inst Autism Spectrum Disorders, Nashville, TN 37203 USA; [Weitlauf, Amy S.; Warren, Zachary] Vanderbilt Univ, Med Ctr, Treatment &amp; Res Inst Autism Spectrum Disorders, Dept Pediat, Nashville, TN 37203 USA; [Sarkar, Nilanjan] Vanderbilt Univ, Dept Elect Engn &amp; Comp Sci, Nashville, TN 37212 USA; [Sarkar, Nilanjan] Vanderbilt Univ, Dept Mech Engn, Nashville, TN 37212 USA; [Sarkar, Nilanjan] Vanderbilt Univ, Robot &amp; Autonomous Syst Lab, Nashville, TN 37212 USA</t>
  </si>
  <si>
    <t>Vanderbilt University; Vanderbilt University; Vanderbilt University; Vanderbilt University; Vanderbilt University; Vanderbilt University</t>
  </si>
  <si>
    <t>Amat, AZ (corresponding author), Vanderbilt Univ, Robot &amp; Autonomous Syst Lab, Dept Elect Engn &amp; Comp Sci, Nashville, TN 37235 USA.</t>
  </si>
  <si>
    <t>ashwaq.zaini.amat.haji.anwar@vanderbilt.edu; huan.zhao@vanderbilt.edu; amy.r.swanson@vumc.org; amy.s.weitlauf@vumc.org; zachary.e.warren@vumc.org; nilanjan.sarkar@vanderbilt.edu</t>
  </si>
  <si>
    <t>Zhao, Huan/IXD-9857-2023; Weitlauf, Amy/AID-0725-2022; Warren, Zachary/KWU-8831-2024</t>
  </si>
  <si>
    <t>Weitlauf, Amy/0000-0002-3904-6378; Warren, Zachary/0000-0001-9677-9386; Amat, Ashwaq Zaini/0000-0002-9896-1285</t>
  </si>
  <si>
    <t>National Institute of Mental Health [1R21MH11154801]</t>
  </si>
  <si>
    <t>This work was supported in part by the National Institute of Mental Health Grants under Grant 1R21MH11154801.</t>
  </si>
  <si>
    <t>10.1109/TNSRE.2021.3108351</t>
  </si>
  <si>
    <t>UR3PU</t>
  </si>
  <si>
    <t>WOS:000696664700001</t>
  </si>
  <si>
    <t>Feng, SY; Wang, XQ; Wang, QD; Fang, J; Wu, YX; Yi, L; Wei, KL</t>
  </si>
  <si>
    <t>Feng, Shuyuan; Wang, Xueqin; Wang, Qiandong; Fang, Jing; Wu, Yaxue; Yi, Li; Wei, Kunlin</t>
  </si>
  <si>
    <t>The uncanny valley effect in typically developing children and its absence in children with autism spectrum disorders</t>
  </si>
  <si>
    <t>MIND PERCEPTION; HUMAN REALISM; ROBOTS; PATTERNS; EYES; FACE; INDIVIDUALS; COMPETENCE; MISMATCH; PARTNERS</t>
  </si>
  <si>
    <t>Robots and virtual reality are gaining popularity in the intervention of children with autism spectrum disorder (ASD). To shed light on children's attitudes towards robots and characters in virtual reality, this study aims to examine whether children with ASD show the uncanny valley effect. We varied the realism of facial appearance by morphing a cartoon face into a human face, and induced perceptual mismatch by enlarging the eyes, which has previously been shown as an effective method to induce the uncanny valley effect in adults. Children with ASD and typically developing (TD) children participated in a two-alternative forced choice task that asked them to choose one they liked more from the two images presented on the screen. We found that TD children showed the effect, i.e., the enlargement of eye size and the approaching realism reduced their preference. In contrast, children with ASD did not show the uncanny valley effect. Our findings in TD children help resolve the controversy in the literature about the existence of the uncanny valley effect among young children. Meanwhile, the absence of the uncanny valley effect in children with ASD might be attributed to their reduced sensitivity to subtle changes of face features and their limited visual experience to faces caused by diminished social motivation. Last, our findings provide practical implications for designing robots and virtual characters for the intervention of children with ASD.</t>
  </si>
  <si>
    <t>[Feng, Shuyuan; Wu, Yaxue; Yi, Li; Wei, Kunlin] Peking Univ, Sch Psychol &amp; Cognit Sci, Beijing, Peoples R China; [Feng, Shuyuan; Wu, Yaxue; Yi, Li; Wei, Kunlin] Peking Univ, Beijing Key Lab Behav &amp; Mental Hlth, Beijing, Peoples R China; [Wang, Xueqin] Sun Yat Sen Univ, Sch Math &amp; Computat Sci, Dept Stat Sci, Guangzhou, Guangdong, Peoples R China; [Wang, Xueqin] Sun Yat Sen Univ, Southern China Res Ctr Stat Sci, Guangzhou, Guangdong, Peoples R China; [Wang, Qiandong] Peking Univ, Acad Adv Interdisciplinary Studies, Beijing, Peoples R China; [Wang, Qiandong] Peking Univ, Acad Adv Interdisciplinary Studies, Peking Tsinghua Ctr Life Sci, Beijing, Peoples R China; [Fang, Jing] Qingdao Autism Res Inst, Qingdao, Shandong, Peoples R China</t>
  </si>
  <si>
    <t>Peking University; Peking University; Sun Yat Sen University; Sun Yat Sen University; Peking University; Peking University</t>
  </si>
  <si>
    <t>Yi, L; Wei, KL (corresponding author), Peking Univ, Sch Psychol &amp; Cognit Sci, Beijing, Peoples R China.;Yi, L; Wei, KL (corresponding author), Peking Univ, Beijing Key Lab Behav &amp; Mental Hlth, Beijing, Peoples R China.</t>
  </si>
  <si>
    <t>yilipku@pku.edu.cn; wei_kunlin@126.com</t>
  </si>
  <si>
    <t>National Natural Science Foundation of China [31571135, 31871116, 31371020, 31328010, 31622029, 61533001]; National High Technology Research and Development Program of China [2012AA011602]; Beijing Municipal Science &amp; Technology Commission [Z171100000117015]</t>
  </si>
  <si>
    <t>National Natural Science Foundation of China(National Natural Science Foundation of China (NSFC)); National High Technology Research and Development Program of China(National High Technology Research and Development Program of China); Beijing Municipal Science &amp; Technology Commission(Beijing Municipal Science &amp; Technology Commission)</t>
  </si>
  <si>
    <t>This work was supported by the National Natural Science Foundation of China, No. 31571135, 31871116, http://www.nsfc.gov.cn/, received by Yi L; National Natural Science Foundation of China, Nos. 31371020, 31328010, 31622029 and 61533001, http://www.nsfc.gov.cn/, received by Wei K; National High Technology Research and Development Program of China, No. 2012AA011602, http://www.htrdc.com/kjb/web/cms/www/kjb/index/, received by Wei K and the Beijing Municipal Science &amp; Technology Commission, No. Z171100000117015, http://www.bjkw.gov.cn/, received by Yi L. The funders had no role in study design, data collection and analysis, decision to publish, or preparation of the manuscript.</t>
  </si>
  <si>
    <t>NOV 1</t>
  </si>
  <si>
    <t>e0206343</t>
  </si>
  <si>
    <t>10.1371/journal.pone.0206343</t>
  </si>
  <si>
    <t>GZ0DG</t>
  </si>
  <si>
    <t>WOS:000449027600041</t>
  </si>
  <si>
    <t>Hocking, DR; Ardalan, A; Abu-Rayya, HM; Farhat, H; Andoni, A; Lenroot, R; Kachnowski, S</t>
  </si>
  <si>
    <t>Hocking, Darren R.; Ardalan, Adel; Abu-Rayya, Hisham M.; Farhat, Hassan; Andoni, Anna; Lenroot, Rhoshel; Kachnowski, Stan</t>
  </si>
  <si>
    <t>Feasibility of a virtual reality-based exercise intervention and low-cost motion tracking method for estimation of motor proficiency in youth with autism spectrum disorder</t>
  </si>
  <si>
    <t>Kinect; Motion capture; Virtual reality; Video game; Artificial neural network; Motor skills; Technology-based intervention</t>
  </si>
  <si>
    <t>POSTURAL CONTROL; CHILDREN; SYSTEM; PROPRIOCEPTION; DIFFICULTIES; MOVEMENT; INFANTS; SKILLS; DELAY; RISK</t>
  </si>
  <si>
    <t>Background Motor impairment is widely acknowledged as a core feature in children with autism spectrum disorder (ASD), which can affect adaptive behavior and increase severity of symptoms. Low-cost motion capture and virtual reality (VR) game technologies hold a great deal of promise for providing personalized approaches to motor intervention in ASD. The present study explored the feasibility, acceptability and potential efficacy of a custom-designed VR game-based intervention (GaitWayXR (TM)) for improving gross motor skills in youth with ASD. Methods Ten children and adolescents (10-17 years) completed six, 20-min VR-based motor training sessions over 2 weeks while whole-body movement was tracked with a low-cost motion capture system. We developed a methodology for using motion tracking data to quantify whole-body movement in terms of efficiency, synchrony and symmetry. We then studied the relationships of the above quantities with standardized measures of motor skill and cognitive flexibility. Results Our results supported our presumption that the VR intervention is safe, with no adverse events and very few minor to moderate side-effects, while a large proportion of parents said they would use the VR game at home, the most prohibitive reasons for adopting the system for home therapy were cost and space. Although there was little evidence of any benefits of the GaitWayXR (TM) intervention in improving gross motor skills, we showed several positive correlations between the standardized measures of gross motor skills in ASD and our measures of efficiency, symmetry and synchrony from low-cost motion capture. Conclusions These findings, though preliminary and limited by small sample size, suggest that low-cost motion capture of children with ASD is feasible with movement exercises in a VR-based game environment. Based on these preliminary findings, we recommend conducting larger-scale studies with methods for improving adherence to VR gaming interventions over longer periods.</t>
  </si>
  <si>
    <t>[Hocking, Darren R.; Farhat, Hassan] La Trobe Univ, Dev Neuromotor &amp; Cognit Lab, Sch Psychol &amp; Publ Hlth, Melbourne, Vic, Australia; [Ardalan, Adel] Columbia Univ, Zuckerman Mind Brain Behav Inst, New York, NY USA; [Abu-Rayya, Hisham M.] Doha Inst Grad Studies, Sch Social Sci &amp; Humanities, Doha, Qatar; [Abu-Rayya, Hisham M.] La Trobe Univ, Sch Psychol &amp; Publ Hlth, Melbourne, Vic, Australia; [Andoni, Anna; Kachnowski, Stan] Columbia Univ, Healthcare Innovat &amp; Technol Lab, HITLAB, New York, NY USA; [Lenroot, Rhoshel] Univ New Mexico, Dept Psychiat, Albuquerque, NM 87131 USA</t>
  </si>
  <si>
    <t>La Trobe University; Columbia University; Doha Institute for Graduate Studies; La Trobe University; Columbia University; University of New Mexico</t>
  </si>
  <si>
    <t>Hocking, DR (corresponding author), La Trobe Univ, Dev Neuromotor &amp; Cognit Lab, Sch Psychol &amp; Publ Hlth, Melbourne, Vic, Australia.</t>
  </si>
  <si>
    <t>D.Hocking@latrobe.edu.au</t>
  </si>
  <si>
    <t>Ardalan, Adel/AAG-2632-2020; Hocking, Darren/AGP-6122-2022</t>
  </si>
  <si>
    <t>Ardalan, Adel/0000-0001-5061-7832; Abu-Rayya, Hisham/0000-0003-2352-7414; Hocking, Darren/0000-0003-1143-8190</t>
  </si>
  <si>
    <t>Playing Forward LLC.</t>
  </si>
  <si>
    <t>The study was sponsored by Playing Forward LLC.</t>
  </si>
  <si>
    <t>JAN 7</t>
  </si>
  <si>
    <t>10.1186/s12984-021-00978-1</t>
  </si>
  <si>
    <t>YD2YC</t>
  </si>
  <si>
    <t>WOS:000740241100001</t>
  </si>
  <si>
    <t>Peng, X; Menhas, R; Dai, JH; Younas, M</t>
  </si>
  <si>
    <t>Peng, Xiang; Menhas, Rashid; Dai, Jianhui; Younas, Muhammad</t>
  </si>
  <si>
    <t>The COVID-19 Pandemic and Overall Wellbeing: Mediating Role of Virtual Reality Fitness for Physical-Psychological Health and Physical Activity</t>
  </si>
  <si>
    <t>PSYCHOLOGY RESEARCH AND BEHAVIOR MANAGEMENT</t>
  </si>
  <si>
    <t>COVID-19; virtual reality fitness; lockdown; psychological and physical health; overall wellbeing</t>
  </si>
  <si>
    <t>EXERCISE; PERCEPTIONS; TECHNOLOGY; RESPONSES; BENEFITS; ANXIETY; ADULTS</t>
  </si>
  <si>
    <t>Background: Virtual reality applications are made for various objectives such as business, entertainment, education, and healthcare. Anxiety, phobias, distress, disordered eating, drug addiction, panic disorder, post-traumatic stress disorder, schizophrenia, bipolar disorder, psychosis, depression, and autism spectrum disorders may benefit from virtual reality-based approaches. The 2019 coronavirus (COVID-19) pandemic has impacted the way we live, enjoy, study, sport, and socialize significantly. Virtual reality fitness technology gained much attention during the COVID-19 preventive measures time.Objective: The present study explores the role of virtual reality fitness in improving overall wellbeing during the COVID-19 pandemic home isolation period in terms of physical-psychological health and physical activity.Methods: A total of 2300 individuals were recruited using the snowball sampling technique to participate in the study. The primary data were collected using an anonymous web-based survey. SPSS-23 and Smart-PLS 3.2.9 software were used to analyze the data.Results: The direct path coefficient analysis of the study constructs show that virtual reality fitness has (preventive measures-&gt; virtual reality fitness-&gt; overall wellbeing, preventive measures-&gt; virtual reality fitness-&gt; physical exercise, and preventive measures-&gt; virtual reality fitness-&gt; physical health) profound effects on the research participants' mental and physical wellbeing of the study participants while indirect mediation analysis shows that virtual reality fitness has (preventive measures-&gt; virtual reality fitness -&gt;overall wellbeing, preventive measures-&gt; virtual reality fitness-&gt; physical exercise, preventive measures-&gt; virtual reality fitness -&gt;physical health) significant impacts.Conclusion: Our study results concluded that house exercises through virtual reality fitness are a good substitute for public gyms and private group fitness programs during the first pandemic wave for physical-psychological and overall wellbeing. Virtual reality fitness technology can alleviate many of the challenges brought on by the epidemic, resulting in increased utilization.</t>
  </si>
  <si>
    <t>[Peng, Xiang] Hunan City Univ, Coll Phys Educ, Yiyang, Peoples R China; [Peng, Xiang; Dai, Jianhui] Soochow Univ, Coll Phys Educ &amp; Sports, Suzhou, Peoples R China; [Menhas, Rashid] Soochow Univ, Coll Phys Educ &amp; Sports, Res Ctr Sports Social Sci, Suzhou, Peoples R China; [Younas, Muhammad] Soochow Univ, Sch Educ, Suzhou, Peoples R China</t>
  </si>
  <si>
    <t>Hunan City University; Soochow University - China; Soochow University - China; Soochow University - China</t>
  </si>
  <si>
    <t>Dai, JH (corresponding author), Soochow Univ, Coll Phys Educ &amp; Sports, Suzhou, Peoples R China.;Menhas, R (corresponding author), Soochow Univ, Coll Phys Educ &amp; Sports, Res Ctr Sports Social Sci, Suzhou, Peoples R China.</t>
  </si>
  <si>
    <t>menhas.r@yahoo.com; sddjh@suda.edu.cn</t>
  </si>
  <si>
    <t>Li, Yuke/P-2327-2016; Menhas, Rashid/AAS-1125-2021; Younas, Muhammad/GQQ-0230-2022</t>
  </si>
  <si>
    <t>Menhas, Rashid/0000-0002-8940-5009; Younas, Muhammad/0000-0002-6397-326X</t>
  </si>
  <si>
    <t>Hunan Province Educational Science Planning Project [XJK22ZDJD52]</t>
  </si>
  <si>
    <t>Hunan Province Educational Science Planning Project</t>
  </si>
  <si>
    <t>Funding Hunan Province Educational Science Planning Project (XJK22ZDJD52)</t>
  </si>
  <si>
    <t>DOVE MEDICAL PRESS LTD</t>
  </si>
  <si>
    <t>ALBANY</t>
  </si>
  <si>
    <t>PO BOX 300-008, ALBANY, AUCKLAND 0752, NEW ZEALAND</t>
  </si>
  <si>
    <t>1179-1578</t>
  </si>
  <si>
    <t>PSYCHOL RES BEHAV MA</t>
  </si>
  <si>
    <t>Psychol. Res. Behav. Manag.</t>
  </si>
  <si>
    <t>10.2147/PRBM.S369020</t>
  </si>
  <si>
    <t>Psychology, Clinical; Psychiatry; Psychology, Multidisciplinary</t>
  </si>
  <si>
    <t>3E9YQ</t>
  </si>
  <si>
    <t>WOS:000830332400001</t>
  </si>
  <si>
    <t>Crowell, C; Sayis, B; Benitez, JP; Pares, N</t>
  </si>
  <si>
    <t>Crowell, Ciera; Sayis, Batuhan; Pedro Benitez, Juan; Pares, Narcis</t>
  </si>
  <si>
    <t>Mixed Reality, Full-Body Interactive Experience to Encourage Social Initiation for Autism: Comparison with a Control Nondigital Intervention</t>
  </si>
  <si>
    <t>autism spectrum disorders; virtual reality; naturalistic interventions; full-body interaction; interaction design</t>
  </si>
  <si>
    <t>Despite a proliferation in digital intervention tools for autism, many studies lack comparison with standard intervention tools, and are not evaluated with objective and standardized measures. In this article, we present research on the potential of mixed reality (MR) experiences using full-body interaction to foster social initiation behaviors in children with autism while playing with a child without autism, in a face-to-face colocated configuration. The primary goal was to test whether practicing socialization in a virtual environment catered toward individuals with autism spectrum disorders (ASDs) could be a way to reduce anxiety while simultaneously forming collaborative behavioral patterns. Building on the results of a preliminary study, this second phase compares our system with a typical LEGO social intervention strategy using construction tools and toys as an aid to the psychologist, therapist, or caregiver. Results are based on four data sources: (a) video coding of the externally observed behaviors during the video-recorded play sessions, (b) log files of our system showing the events triggered and the real-time decisions taken, (c) physiologic data (heart rate variability and electrodermal activity) gathered through child-appropriate wearable, (d) and a standardized anxiety questionnaire. The results obtained show that the MR setting generated as many social initiations as the control condition, and no significant difference existed in the reported anxiety levels of the children after playing in the two conditions.</t>
  </si>
  <si>
    <t>[Crowell, Ciera; Sayis, Batuhan; Pedro Benitez, Juan; Pares, Narcis] Univ Pompeu Fabra, Dept Informat &amp; Commun Technol, Carrer Roc Boronat 138, Barcelona 08018, Spain</t>
  </si>
  <si>
    <t>Pompeu Fabra University</t>
  </si>
  <si>
    <t>Crowell, C (corresponding author), Univ Pompeu Fabra, Dept Informat &amp; Commun Technol, Carrer Roc Boronat 138, Barcelona 08018, Spain.</t>
  </si>
  <si>
    <t>ciera.crowell@upf.edu</t>
  </si>
  <si>
    <t>Sayis, Batuhan/S-5577-2018; Pares, Narcis/C-8339-2017</t>
  </si>
  <si>
    <t>Pares, Narcis/0000-0002-1696-6876</t>
  </si>
  <si>
    <t>Maria de Maeztu grant</t>
  </si>
  <si>
    <t>This work has been funded by the Maria de Maeztu grant: Autism Spectrum Condition Multimodal Embodiment Open Repository: A Multimodal On-Line Analysis &amp; Database Tool for Investigating Physiological Effects of Full-body Interaction Virtual Environments for Children with Autism.</t>
  </si>
  <si>
    <t>10.1089/cyber.2019.0115</t>
  </si>
  <si>
    <t>OCT 2019</t>
  </si>
  <si>
    <t>WOS:000492368900001</t>
  </si>
  <si>
    <t>Ghanouni, P; Jarus, T; Zwicker, JG; Lucyshyn, J; Mow, K; Ledingham, A</t>
  </si>
  <si>
    <t>Ghanouni, Parisa; Jarus, Tal; Zwicker, Jill G.; Lucyshyn, Joseph; Mow, Kristin; Ledingham, Alyssa</t>
  </si>
  <si>
    <t>Social Stories for Children with Autism Spectrum Disorder: Validating the Content of a Virtual Reality Program</t>
  </si>
  <si>
    <t>ASD; Social stories; General case training; Virtual reality programs; Emotion recognition; Perspective taking</t>
  </si>
  <si>
    <t>HIGH-FUNCTIONING AUTISM; SKILLS INTERVENTIONS; ASPERGER-SYNDROME; SAFETY SKILLS; EMPATHY; ADULTS; ADOLESCENTS; ENGAGEMENT; STUDENT; YOUTH</t>
  </si>
  <si>
    <t>Autism spectrum disorder (ASD) is a neurodevelopmental disorder that affects socio-emotional skills and perspective-taking abilities. Although social stories in a form of virtual reality program can help children with ASD, developing them and identifying appropriate responses might be subjective and thus challenging. Using Delphi method, and guided by general case training, we involved 63 parents and clinicians of individuals with ASD, in two rounds of online iteration to refine the stories. Scenarios that reached a 75% agreement level were accepted. This project is the first study to develop and validate a library of 75 short socio-emotional stories that illustrate various types and intensities of emotion in three social contexts of home, school, and community as the content of a virtual reality program.</t>
  </si>
  <si>
    <t>[Ghanouni, Parisa] Dalhousie Univ, Dept Occupat Therapy, 5869 Univ Ave, Halifax, NS, Canada; [Jarus, Tal; Zwicker, Jill G.; Mow, Kristin; Ledingham, Alyssa] Univ British Columbia, Dept Occupat Sci &amp; Occupat Therapy, T325-2211 Wesbrook Mall, Vancouver, BC V6T 2B5, Canada; [Zwicker, Jill G.] Univ British Columbia, Dept Pediat, Div Dev Pediat, Vancouver, BC, Canada; [Zwicker, Jill G.] Child &amp; Family Res Inst, Vancouver, BC, Canada; [Zwicker, Jill G.] Sunny Hill Hlth Ctr Children, Vancouver, BC, Canada; [Zwicker, Jill G.] CanChild Ctr Childhood Disabil Res, Hamilton, ON, Canada; [Lucyshyn, Joseph] Univ British Columbia, Dept Educ &amp; Counseling Psychol &amp; Special Educ, Fac Educ, Vancouver, BC, Canada</t>
  </si>
  <si>
    <t>Dalhousie University; University of British Columbia; University of British Columbia; Child &amp; Family Research Institute; McMaster University; University of British Columbia</t>
  </si>
  <si>
    <t>Ghanouni, P (corresponding author), Dalhousie Univ, Dept Occupat Therapy, 5869 Univ Ave, Halifax, NS, Canada.</t>
  </si>
  <si>
    <t>parisa.ghanouni@alumni.ubc.ca</t>
  </si>
  <si>
    <t>Jarus, Tal/KFB-8486-2024</t>
  </si>
  <si>
    <t>Michael Smith Foundation for Health Research; UBC Peter Wall Institute for Advanced Studies</t>
  </si>
  <si>
    <t>Michael Smith Foundation for Health Research(Michael Smith Foundation for Health Research); UBC Peter Wall Institute for Advanced Studies</t>
  </si>
  <si>
    <t>We would like to express our sincere thanks to funding agencies, the Michael Smith Foundation for Health Research and UBC Peter Wall Institute for Advanced Studies for their great support.</t>
  </si>
  <si>
    <t>10.1007/s10803-018-3737-0</t>
  </si>
  <si>
    <t>HK8PI</t>
  </si>
  <si>
    <t>WOS:000458251700017</t>
  </si>
  <si>
    <t>Smith, MJ; Smith, JD; Fleming, MF; Jordan, N; Brown, CH; Humm, L; Olsen, D; Bell, MD</t>
  </si>
  <si>
    <t>Smith, Matthew J.; Smith, Justin D.; Fleming, Michael F.; Jordan, Neil; Brown, C. Hendricks; Humm, Laura; Olsen, Dale; Bell, Morris D.</t>
  </si>
  <si>
    <t>Mechanism of Action for Obtaining Job Offers With Virtual Reality Job Interview Training</t>
  </si>
  <si>
    <t>PSYCHIATRIC SERVICES</t>
  </si>
  <si>
    <t>SEVERE MENTAL-ILLNESS; EMPLOYMENT; INDIVIDUALS; PEOPLE; DISORDER; OUTCOMES; ADULTS</t>
  </si>
  <si>
    <t>Objective: Four randomized controlled trials revealed that virtual-reality job interview training (VR-JIT) improved interviewing skills and the odds of obtaining a job offer among trainees with severe mental illness or autism spectrum disorder. This study assessed whether postintervention interviewing skills mediated the relationship between completion of virtual interviews and receiving job offers by six-month follow-up. Methods: VR-JIT trainees (N=79) completed pre-and post-test mock interviews and a brief survey approximately six months later to assess whether they received a job offer. Results: As hypothesized, analyses indicated that the number of completed virtual interviews predicted greater post-test interviewing skills ( beta=.20, 95% posterior credible interval [PCI]=.08-.33), which in turn predicted trainees' obtaining a job offer (beta=.28, 95% PCI=.01-.53). Conclusions: VR-JITmay provide amechanismof action that helps trainees with various psychiatric diagnoses obtain job offers in the community. Future research can evaluate the community-based effectiveness of this novel intervention.</t>
  </si>
  <si>
    <t>[Smith, Matthew J.] Univ Michigan, Sch Social Work, Ann Arbor, MI 48109 USA; [Smith, Matthew J.; Smith, Justin D.; Fleming, Michael F.; Jordan, Neil; Brown, C. Hendricks] Northwestern Univ, Dept Psychiat &amp; Behav Sci, Feinberg Sch Med, Chicago, IL 60611 USA; [Humm, Laura; Olsen, Dale] SIMmersion LLC, Columbia, MD USA; [Bell, Morris D.] Yale Univ, Sch Med, Dept Psychiat, West Haven, CT 06516 USA</t>
  </si>
  <si>
    <t>University of Michigan System; University of Michigan; Northwestern University; Feinberg School of Medicine; Yale University</t>
  </si>
  <si>
    <t>Smith, MJ (corresponding author), Univ Michigan, Sch Social Work, Ann Arbor, MI 48109 USA.;Smith, MJ (corresponding author), Northwestern Univ, Dept Psychiat &amp; Behav Sci, Feinberg Sch Med, Chicago, IL 60611 USA.</t>
  </si>
  <si>
    <t>Humm, Laura/0000-0002-9642-1453; Smith, Matthew/0000-0002-0079-1477; Bell, Morris/0000-0003-0795-9196</t>
  </si>
  <si>
    <t>National Institute on Drug Abuse grant [P30 DA027828]; National Institute of Mental Health (NIMH) [R44 MH080496]; NIMH [R01 MH110524, R01 MH040859]; NIMH; SIMmersion</t>
  </si>
  <si>
    <t>National Institute on Drug Abuse grant; National Institute of Mental Health (NIMH)(United States Department of Health &amp; Human ServicesNational Institutes of Health (NIH) - USANIH National Institute of Mental Health (NIMH)); NIMH(United States Department of Health &amp; Human ServicesNational Institutes of Health (NIH) - USANIH National Institute of Mental Health (NIMH)); NIMH(United States Department of Health &amp; Human ServicesNational Institutes of Health (NIH) - USANIH National Institute of Mental Health (NIMH)); SIMmersion</t>
  </si>
  <si>
    <t>Dr. Matthew J. Smith, Dr. Justin D. Smith, and Dr. Brown were supported by National Institute on Drug Abuse grant P30 DA027828 to Dr. Brown. Dr. Olsen received a grant from the National Institute of Mental Health (NIMH) to develop virtual reality job interview training (R44 MH080496), and funds were subcontracted to Dr. Fleming at Northwestern University to complete the study. This study was also supported by grants from NIMH to Dr. Matthew J. Smith (R01 MH110524) and Dr. Brown (R01 MH040859). The authors acknowledge research staff at Northwestern University's Clinical Research Program for data collection and the participants for volunteering their time. The views expressed in this article are those of the authors and do not necessarily reflect the position or policy of the U.S. Department of Veterans Affairs or the United States government.Dr. Olsen and Ms. Humm are employed by and own shares in SIMmersion, L.L.C., which created the intervention from grant support provided by NIMH. Dr. Bell was paid by SIMmersion, L.L.C., as a consultant to assist with the development of virtual-reality job interview training. Dr. Bell and his family do not have a financial stake in SIMmersion, L.L.C. The other authors report no financial relationships with commercial interests.</t>
  </si>
  <si>
    <t>AMER PSYCHIATRIC PUBLISHING, INC</t>
  </si>
  <si>
    <t>1000 WILSON BOULEVARD, STE 1825, ARLINGTON, VA 22209-3901 USA</t>
  </si>
  <si>
    <t>1075-2730</t>
  </si>
  <si>
    <t>1557-9700</t>
  </si>
  <si>
    <t>PSYCHIAT SERV</t>
  </si>
  <si>
    <t>Psychiatr. Serv.</t>
  </si>
  <si>
    <t>JUL 1</t>
  </si>
  <si>
    <t>10.1176/appi.ps.201600217</t>
  </si>
  <si>
    <t>Health Policy &amp; Services; Public, Environmental &amp; Occupational Health; Psychiatry</t>
  </si>
  <si>
    <t>Health Care Sciences &amp; Services; Public, Environmental &amp; Occupational Health; Psychiatry</t>
  </si>
  <si>
    <t>FA0GZ</t>
  </si>
  <si>
    <t>WOS:000405110900020</t>
  </si>
  <si>
    <t>Wallace, S; Parsons, S; Bailey, A</t>
  </si>
  <si>
    <t>Wallace, Simon; Parsons, Sarah; Bailey, Anthony</t>
  </si>
  <si>
    <t>Self-reported sense of presence and responses to social stimuli by adolescents with autism spectrum disorder in a collaborative virtual reality environment</t>
  </si>
  <si>
    <t>JOURNAL OF INTELLECTUAL &amp; DEVELOPMENTAL DISABILITY</t>
  </si>
  <si>
    <t>autism; technology; virtual reality; presence; assessment; collaborative virtual environment (CVE)</t>
  </si>
  <si>
    <t>TECHNOLOGY-BASED INTERVENTIONS; COMPUTER-ANIMATED TUTOR; CHILDREN; SKILLS; COMPETENCE; CHARACTERS; VOCABULARY; BEHAVIOR; PEOPLE; ONLINE</t>
  </si>
  <si>
    <t>Background Collaborative virtual environments (CVEs) have the potential to support sociocommunicative interactions for people with autism spectrum disorder (ASD), but little is known about the sense of presence participants feel in CVEs or how CVEs can be used to assess skills.Method Ten children with ASD and 10 typically developing (TD) children (aged 12-16 years) judged greeting behaviours of a human avatar and static facial expressions in a virtual gallery.Results There were no differences in presence reported by the two groups. The ASD group was less sensitive to a negative greeting from the human avatar than the TD group, and impaired in recognising static facial expressions.Conclusions Self-reported measures of presence are valuable for informing which kinds of tasks, and technology may provide more authentic contexts in which to identify and support social competence in participants with ASD.</t>
  </si>
  <si>
    <t>[Wallace, Simon] John Radcliffe Hosp, Div Clin Neurol, Oxford, England; [Parsons, Sarah] Univ Southampton, Southampton Educ Sch, Southampton, Hants, England; [Bailey, Anthony] Univ British Columbia, UBC Dept Psychiat, Vancouver, BC, Canada</t>
  </si>
  <si>
    <t>University of Oxford; University of Southampton; University of British Columbia</t>
  </si>
  <si>
    <t>Parsons, S (corresponding author), Univ Southampton, Southampton Educ Sch, Southampton, Hants, England.</t>
  </si>
  <si>
    <t>S.J.Parsons@soton.ac.uk</t>
  </si>
  <si>
    <t>1366-8250</t>
  </si>
  <si>
    <t>1469-9532</t>
  </si>
  <si>
    <t>J INTELLECT DEV DIS</t>
  </si>
  <si>
    <t>J. Intellect. Dev. Dis.</t>
  </si>
  <si>
    <t>10.3109/13668250.2016.1234032</t>
  </si>
  <si>
    <t>ES1YY</t>
  </si>
  <si>
    <t>WOS:000399324100004</t>
  </si>
  <si>
    <t>Malihi, M; Nguyen, J; Cardy, RE; Eldon, S; Petta, C; Kushki, A</t>
  </si>
  <si>
    <t>Malihi, Mahan; Nguyen, Jenny; Cardy, Robyn E.; Eldon, Salina; Petta, Catharine; Kushki, Azadeh</t>
  </si>
  <si>
    <t>Short report: Evaluating the safety and usability of head-mounted virtual reality compared to monitor-displayed video for children with autism spectrum disorder</t>
  </si>
  <si>
    <t>anxiety; autism spectrum disorder; autistic disorder; children; technology; virtual reality</t>
  </si>
  <si>
    <t>SENSE</t>
  </si>
  <si>
    <t>Virtual reality provides a relatively inexpensive way to learn and repeatedly practice skills in personalized, controlled, and safe computer-generated settings. These systems are increasingly receiving attention as an innovative medium for delivering interventions to children with autism spectrum disorder. Although many virtual reality systems are commercially available and their use is increasing, little is known about the safety and usability of these systems for children with autism spectrum disorder. The aim of this study was a first step in addressing this gap. A convenience sample of 35 children with a diagnosis of autism spectrum disorder participated in an immersive head-mounted display virtual reality experience and a control condition (monitor-displayed video). Levels of anxiety and negative effects experienced were not significantly different between the two conditions. Participants reported significantly enhanced spatial presence (p = 0.003;d = 0.3) and naturalness (p = 0.002; d = 0.47) for the head-mounted display-virtual reality condition, and 74% of participants preferred using head-mounted display-virtual reality over monitor-displayed video. These findings provide preliminary evidence to support the safety and usability of head-mounted display-virtual reality for children with autism spectrum disorder. Future studies are needed to replicate the results in a larger sample, a range of virtual reality experiences, and in the context of long-term exposure. Lay abstract This study investigated the safety and usability of a virtual reality experience for children with autism spectrum disorder in a laboratory setting. In our study, the negative effects of head-mounted display-virtual reality were similar to monitor-displayed video watching. At the same time, the participants indicated that the head-mounted display-virtual reality experience provided improved realism and sense of presence. This study is a first step in understanding the impact of head-mounted display on children with autism spectrum disorder.</t>
  </si>
  <si>
    <t>[Malihi, Mahan; Nguyen, Jenny; Cardy, Robyn E.; Eldon, Salina; Petta, Catharine; Kushki, Azadeh] Holland Bloorview Kids Rehabil Hosp, Toronto, ON, Canada; [Malihi, Mahan; Nguyen, Jenny; Kushki, Azadeh] Univ Toronto, Toronto, ON, Canada</t>
  </si>
  <si>
    <t>University of Toronto; Holland Bloorview Kids Rehabilitation Hospital; University of Toronto</t>
  </si>
  <si>
    <t>Kushki, A (corresponding author), Holland Bloorview Kids Rehabil Hosp, Autism Res Ctr, Bloorview Res Inst, 150 Kilgour Rd, Toronto, ON M4G 1R8, Canada.</t>
  </si>
  <si>
    <t>akushki@hollandbloorview.ca</t>
  </si>
  <si>
    <t>Cardy, Robyn/0000-0003-0733-3732</t>
  </si>
  <si>
    <t>Holland Bloorview Foundation</t>
  </si>
  <si>
    <t>The authors would like to thank participants and their families for contributing to this research by volunteering their time. The authors would also like to thank Holland Bloorview Foundation for their support.</t>
  </si>
  <si>
    <t>10.1177/1362361320934214</t>
  </si>
  <si>
    <t>NV8CK</t>
  </si>
  <si>
    <t>WOS:000545224700001</t>
  </si>
  <si>
    <t>Gallup, J; Duff, C; Serianni, B; Gallup, A</t>
  </si>
  <si>
    <t>Gallup, Jennifer; Duff, Christine; Serianni, Barbara; Gallup, Adam</t>
  </si>
  <si>
    <t>An Exploration of Friendships and Socialization for Adolescents with Autism Engaged in Massively Multiplayer Online Role-Playing Games (MMORPG)</t>
  </si>
  <si>
    <t>VIRTUAL ENVIRONMENTS; SPECTRUM DISORDERS; SOCIAL-SKILLS; CHILDREN; COMMUNICATION; NEEDS; LIFE</t>
  </si>
  <si>
    <t>A phenomenological study was conducted to investigate the social experiences and perceptions of friendship among three adolescents with an Autism Spectrum Disorder (ASD) engaged in online videogame play in the context of a massively multiplayer online role-playing game (MMORPG). Semi-structured interviews with three participants, diagnosed with ASD between the ages of 16-21 years, yielded four themes that illustrated the social experiences of participants in this study. Emerging themes and participant comments identified in this study parallel those identified in the most recent research literature that has also sought to identify experiences and attributes that may lead to successful interpersonal relationships for individuals identified with ASD. Participants in this study articulated the desire to socialize, interact, and frequently communicate in a virtual environment; challenges with being misunderstood; issues with identification and perceptions of friends; and awareness of rules specific to face-to-face and virtual environments.</t>
  </si>
  <si>
    <t>[Gallup, Jennifer] Idaho State Univ, Pocatello, ID 83209 USA; [Duff, Christine; Gallup, Adam] Univ Cent Florida, Orlando, FL 32816 USA; [Serianni, Barbara] Armstrong State Univ, Savannah, GA 31419 USA</t>
  </si>
  <si>
    <t>Idaho State University; State University System of Florida; University of Central Florida; University System of Georgia; Armstrong Atlantic State University</t>
  </si>
  <si>
    <t>Gallup, J (corresponding author), 749 Jefferson Ave, Pocatello, ID 83201 USA.</t>
  </si>
  <si>
    <t>jgallup321@gmail.com</t>
  </si>
  <si>
    <t>Serianni, Barbara/KHZ-8602-2024; Duffield, Christine/F-8078-2017</t>
  </si>
  <si>
    <t>WOS:000381539300001</t>
  </si>
  <si>
    <t>Dechsling, A; Shic, F; Zhang, DJ; Marschik, PB; Esposito, G; Orm, S; Sütterlin, S; Kalandadze, T; Oien, RA; Nordahl-Hansen, A</t>
  </si>
  <si>
    <t>Dechsling, Anders; Shic, Frederick; Zhang, Dajie; Marschik, Peter B.; Esposito, Gianluca; Orm, Stian; Sutterlin, Stefan; Kalandadze, Tamara; Oien, Roald A.; Nordahl-Hansen, Anders</t>
  </si>
  <si>
    <t>Virtual reality and naturalistic developmental behavioral interventions for children with autism spectrum disorder</t>
  </si>
  <si>
    <t>RESEARCH IN DEVELOPMENTAL DISABILITIES</t>
  </si>
  <si>
    <t>Autism spectrum disorder; Naturalistic developmental behavioral interventions; Virtual reality; Augmented reality; Intervention</t>
  </si>
  <si>
    <t>SOCIAL-SKILLS; COMMUNICATION; SYSTEM; ENVIRONMENTS; SUPPORT; DESIGN; STATE</t>
  </si>
  <si>
    <t>Background: Naturalistic Developmental Behavioral Interventions (NDBI) have been evaluated as the most promising interventions for children with autism spectrum disorder. In recent years, a growing body of literature suggests that technological advancements such as Virtual Reality (VR) are promising intervention tools. However, to the best of our knowledge no studies have combined evidence-based practice with such tools. Aim: This article aims to review the current literature combining NDBI and VR, and provide suggestions on merging NDBI-approaches with VR. Methods: This article is divided into two parts, where we first conduct a review mapping the research applying NDBI-approaches in VR. In the second part we argue how to apply the common features of NDBI into VR-technology. Results: Our findings show that no VR-studies explicitly rely on NDBI-approaches, but some utilize elements in their interventions that are considered to be common features to NDBI. Conclusions and implications: As the results show, to date, no VR-based studies have utilized NDBI in their intervention. We therefore, in the second part of this article, suggests ways to merge VR and NDBI and introduce the term Virtual Naturalistic Developmental Behavioral Interventions (VNDBI). VNDBI is an innovative way of implementing NDBI which will contribute in making interventions more accessible in central as well as remote locations, while reducing unwanted variation between service sites. VNDBI will advance the possibilities of individually tailoring and widen the area of interventions. In addition, VNDBI can provide the field with new knowledge on effective components enhancing the accuracy in the intervention packages and thus move forward the research field and clinical practice.</t>
  </si>
  <si>
    <t>[Dechsling, Anders; Kalandadze, Tamara; Nordahl-Hansen, Anders] Ostfold Univ Coll, Fac Educ, Halden, Norway; [Shic, Frederick] Seattle Childrens, Ctr Child Hlth Behav &amp; Dev, Seattle, WA USA; [Shic, Frederick] Univ Washington, Dept Pediat, Seattle, WA 98195 USA; [Zhang, Dajie; Marschik, Peter B.] Univ Med Ctr Gottingen, System Ethol &amp; Dev Res, Child &amp; Adolescent Psychiat &amp; Psychotherapy, Gottingen, Germany; [Zhang, Dajie; Marschik, Peter B.] Leibniz ScienceCampus Primate Cognit, Gottingen, Germany; [Zhang, Dajie; Marschik, Peter B.] Med Univ Graz, Div Phoniatr, iDN Interdisciplinary Dev Neurosci, Graz, Austria; [Marschik, Peter B.] Karolinska Inst Stockholm, Dept Womens &amp; Childrens Hlth, Ctr Neurodev Disorders, Stockholm, Sweden; [Esposito, Gianluca] Nanyang Technol Univ, Psychol Program SSS, Singapore, Singapore; [Esposito, Gianluca] Nanyang Technol Univ, Lee Kong Chian Sch Med, Singapore, Singapore; [Esposito, Gianluca] Univ Trento, Dept Psychol &amp; Cognit Sci, Trento, Italy; [Orm, Stian] Frambu Resource Ctr Rare Disorders, Siggerud, Norway; [Sutterlin, Stefan] Oslo Univ Hosp, Div Clin Neurosci, Oslo, Norway; [Sutterlin, Stefan] Ostfold Univ Coll, Fac Hlth &amp; Welf, Halden, Norway; [Oien, Roald A.] Univ Tromso, Arctic Univ Norway, Dept Educ, Tromso, Norway; [Oien, Roald A.] Yale Univ, Sch Med, Child Study Ctr, New Haven, CT 06520 USA</t>
  </si>
  <si>
    <t>Ostfold University College; Seattle Children's Hospital; University of Washington; University of Washington Seattle; University of Gottingen; UNIVERSITY GOTTINGEN HOSPITAL; Medical University of Graz; Karolinska Institutet; Nanyang Technological University; Nanyang Technological University; University of Trento; University of Oslo; Ostfold University College; UiT The Arctic University of Tromso; Yale University</t>
  </si>
  <si>
    <t>Dechsling, A (corresponding author), Hogskolen 1 Ostfod,BRA Veien 4, NO-1757 Halden, Norway.</t>
  </si>
  <si>
    <t>Øien, Roald/AAG-4078-2020; Kalandadze, Tamara/AIE-4655-2022; Orm, Stian/ABC-1736-2021; Shic, Frederick/AAE-9828-2020; Sütterlin, Susanne/ABA-1686-2021; Nordahl-Hansen, Anders/H-8315-2019; Esposito, Gianluca/B-1374-2012; Esposito, Gianluca/K-9353-2013; Marschik, Peter B/F-8195-2011</t>
  </si>
  <si>
    <t>Dechsling, Anders/0000-0002-4839-8703; Esposito, Gianluca/0000-0002-9442-0254; Orm, Stian/0000-0002-4932-8264; Zhang, Dajie/0000-0001-6050-7426; Nordahl-Hansen, Anders/0000-0002-6411-3122; Marschik, Peter B/0000-0001-8932-0980</t>
  </si>
  <si>
    <t>0891-4222</t>
  </si>
  <si>
    <t>1873-3379</t>
  </si>
  <si>
    <t>RES DEV DISABIL</t>
  </si>
  <si>
    <t>Res. Dev. Disabil.</t>
  </si>
  <si>
    <t>10.1016/j.ridd.2021.103885</t>
  </si>
  <si>
    <t>QY7PJ</t>
  </si>
  <si>
    <t>WOS:000630229100015</t>
  </si>
  <si>
    <t>Zhang, L; Warren, Z; Swanson, A; Weitlauf, A; Sarkar, N</t>
  </si>
  <si>
    <t>Zhang, Lian; Warren, Zachary; Swanson, Amy; Weitlauf, Amy; Sarkar, Nilanjan</t>
  </si>
  <si>
    <t>Understanding Performance and Verbal-Communication of Children with ASD in a Collaborative Virtual Environment</t>
  </si>
  <si>
    <t>Autism spectrum disorders; Collaborative virtual environment; Social computing; Peer-mediated learning</t>
  </si>
  <si>
    <t>AUTISM SPECTRUM DISORDERS; HIGH-FUNCTIONING AUTISM; TREATMENT END-POINT; SOCIAL COMMUNICATION; ASPERGER-SYNDROME; SKILLS; DESIGN; PEOPLE; INTERVENTION; INSTRUCTION</t>
  </si>
  <si>
    <t>Collaborative virtual environments (CVEs), which allow naturalistic communication between two or more individuals in a shared virtual environment, hold promise as a tool for measuring and promoting social communication between peers. In this work, a CVE platform and a set of CVE-based collaborative games are designed for children with autism spectrum disorder (ASD). Two groups (7 ASD/TD pairs; 7 TD/TD pairs) participated in a pilot study to establish system feasibility and tolerability. We also designed a methodology for capturing meaningful metrics of social communication. Based on these metrics, we found improved game performance and trends in communication of these participants over time. Although preliminary, these results provide important insights on CVE-based interaction for ASD intervention.</t>
  </si>
  <si>
    <t>[Zhang, Lian] Vanderbilt Univ, Dept Elect Engn &amp; Comp Sci, 101 Olin Hall,2400 Highland Ave, Nashville, TN 37212 USA; [Warren, Zachary] Vanderbilt Univ, Dept Pediat &amp; Psychiat, Nashville, TN 37235 USA; [Swanson, Amy; Weitlauf, Amy] Vanderbilt Univ, Treatment &amp; Res Inst Autism Spectrum Disorders, Nashville, TN 37235 USA; [Sarkar, Nilanjan] Vanderbilt Univ, Dept Mech Engn, Nashville, TN 37235 USA</t>
  </si>
  <si>
    <t>Zhang, L (corresponding author), Vanderbilt Univ, Dept Elect Engn &amp; Comp Sci, 101 Olin Hall,2400 Highland Ave, Nashville, TN 37212 USA.</t>
  </si>
  <si>
    <t>lian.zhang@vanderbilt.edu</t>
  </si>
  <si>
    <t>National Institute of Health [1R01MH091102-01A1, 1R21MH111548-01]; National Science Foundation [0967170]; Vanderbilt Kennedy Center</t>
  </si>
  <si>
    <t>National Institute of Health(United States Department of Health &amp; Human ServicesNational Institutes of Health (NIH) - USA); National Science Foundation(National Science Foundation (NSF)); Vanderbilt Kennedy Center</t>
  </si>
  <si>
    <t>This work was supported in part by the National Institute of Health Grants 1R01MH091102-01A1 and 1R21MH111548-01, the National Science Foundation (0967170) and the Hobbs Society Grant from the Vanderbilt Kennedy Center. The authors would also express great appreciation to the participants and their families for assisting in this research.</t>
  </si>
  <si>
    <t>10.1007/s10803-018-3544-7</t>
  </si>
  <si>
    <t>GM6LS</t>
  </si>
  <si>
    <t>WOS:000438280000017</t>
  </si>
  <si>
    <t>Zhang, L; Weitlauf, AS; Amat, AZ; Swanson, A; Warren, ZE; Sarkar, N</t>
  </si>
  <si>
    <t>Zhang, Lian; Weitlauf, Amy S.; Amat, Ashwaq Zaini; Swanson, Amy; Warren, Zachary E.; Sarkar, Nilanjan</t>
  </si>
  <si>
    <t>Assessing Social Communication and Collaboration in Autism Spectrum Disorder Using Intelligent Collaborative Virtual Environments</t>
  </si>
  <si>
    <t>Autism; Technology; Virtual reality; Measurement; Collaboration; Communication</t>
  </si>
  <si>
    <t>TREATMENT END-POINT; CHILDREN; ADOLESCENTS; REALITY; SKILLS; PERFORMANCE; RECOGNITION; BEHAVIORS; DIALOGUE; ADULTS</t>
  </si>
  <si>
    <t>Existing literature regarding social communication outcomes of interventions in autism spectrum disorder (ASD) depends upon human raters, with limited generalizability to real world settings. Technological innovation, particularly virtual reality (VR) and collaborative virtual environments (CVE), could offer a replicable, low cost measurement platform when endowed with intelligent agent technology and peer-based interactions. We developed and piloted a novel collaborative virtual environment and intelligent agent (CRETA) for the assessment of social communication and collaboration within system and peer interactions. The system classified user statements with moderate to high accuracies. We found moderate to high agreement in displayed communication and collaboration skills between human-human and human-agent interactions. CRETA offers a promising avenue for future development of autonomous measurement systems for ASD research.</t>
  </si>
  <si>
    <t>[Zhang, Lian; Amat, Ashwaq Zaini; Sarkar, Nilanjan] Vanderbilt Univ, Dept Elect Engn &amp; Comp Sci, 221 Kirkland Hall, Nashville, TN 37235 USA; [Weitlauf, Amy S.; Warren, Zachary E.] Vanderbilt Univ, Med Ctr, Dept Pediat, Nashville, TN 37232 USA; [Weitlauf, Amy S.; Swanson, Amy; Warren, Zachary E.] Vanderbilt Univ, Vanderbilt Kennedy Ctr, Treatment &amp; Res Inst Autism Spectrum Disorders, Med Ctr, 230 Appleton Pl,PMB 74, Nashville, TN 37212 USA; [Warren, Zachary E.] Vanderbilt Univ, Dept Special Educ, 221 Kirkland Hall, Nashville, TN 37235 USA; [Warren, Zachary E.] Vanderbilt Univ, Med Ctr, Dept Psychiat, Nashville, TN USA; [Sarkar, Nilanjan] Vanderbilt Univ, Dept Mech Engn, Nashville, TN 37235 USA</t>
  </si>
  <si>
    <t>Weitlauf, AS (corresponding author), Vanderbilt Univ, Med Ctr, Dept Pediat, Nashville, TN 37232 USA.;Weitlauf, AS (corresponding author), Vanderbilt Univ, Vanderbilt Kennedy Ctr, Treatment &amp; Res Inst Autism Spectrum Disorders, Med Ctr, 230 Appleton Pl,PMB 74, Nashville, TN 37212 USA.</t>
  </si>
  <si>
    <t>amy.s.weitlauf@vumc.org</t>
  </si>
  <si>
    <t>National Institutes of Health [1R21MH111548-01]</t>
  </si>
  <si>
    <t>This project was funded by the National Institutes of Health (1R21MH111548-01).</t>
  </si>
  <si>
    <t>10.1007/s10803-019-04246-z</t>
  </si>
  <si>
    <t>KJ4BP</t>
  </si>
  <si>
    <t>WOS:000489527000003</t>
  </si>
  <si>
    <t>Arthur, T; Harris, D; Buckingham, G; Brosnan, M; Wilson, M; Williams, G; Vine, S</t>
  </si>
  <si>
    <t>Arthur, Tom; Harris, David; Buckingham, Gavin; Brosnan, Mark; Wilson, Mark; Williams, Genevieve; Vine, Sam</t>
  </si>
  <si>
    <t>An examination of active inference in autistic adults using immersive virtual reality</t>
  </si>
  <si>
    <t>SCIENTIFIC REPORTS</t>
  </si>
  <si>
    <t>YOUNG-CHILDREN; SPECTRUM; ATTENTION; SKILLS; WORLD; QUESTIONNAIRE; COORDINATION; SENSORIMOTOR; UNCERTAINTY; SPECIFICITY</t>
  </si>
  <si>
    <t>The integration of prior expectations, sensory information, and environmental volatility is proposed to be atypical in Autism Spectrum Disorder, yet few studies have tested these predictive processes in active movement tasks. To address this gap in the research, we used an immersive virtual-reality racquetball paradigm to explore how visual sampling behaviours and movement kinematics are adjusted in relation to unexpected, uncertain, and volatile changes in environmental statistics. We found that prior expectations concerning ball 'bounciness' affected sensorimotor control in both autistic and neurotypical participants, with all individuals using prediction-driven gaze strategies to track the virtual ball. However, autistic participants showed substantial differences in visuomotor behaviour when environmental conditions were more volatile. Specifically, uncertainty-related performance difficulties in these conditions were accompanied by atypical movement kinematics and visual sampling responses. Results support proposals that autistic people overestimate the volatility of sensory environments, and suggest that context-sensitive differences in active inference could explain a range of movement-related difficulties in autism.</t>
  </si>
  <si>
    <t>[Arthur, Tom; Harris, David; Buckingham, Gavin; Wilson, Mark; Williams, Genevieve; Vine, Sam] Univ Exeter, Coll Life &amp; Environm Sci, Dept Sport &amp; Hlth Sci, St Lukes Campus,Heavitree Rd, Exeter EX1 2LU, Devon, England; [Arthur, Tom; Brosnan, Mark] Univ Bath, Ctr Appl Autism Res, Dept Psychol, Bath BA2 7AY, Avon, England</t>
  </si>
  <si>
    <t>University of Exeter; University of Bath</t>
  </si>
  <si>
    <t>Arthur, T; Vine, S (corresponding author), Univ Exeter, Coll Life &amp; Environm Sci, Dept Sport &amp; Hlth Sci, St Lukes Campus,Heavitree Rd, Exeter EX1 2LU, Devon, England.;Arthur, T (corresponding author), Univ Bath, Ctr Appl Autism Res, Dept Psychol, Bath BA2 7AY, Avon, England.</t>
  </si>
  <si>
    <t>tga202@exeter.ac.uk; S.J.Vine@exeter.ac.uk</t>
  </si>
  <si>
    <t>Buckingham, Gavin/A-8715-2008; Harris, David/H-9114-2019</t>
  </si>
  <si>
    <t>Williams, Genevieve/0000-0003-1707-8245; Harris, David/0000-0003-3880-3856; Brosnan, Mark/0000-0002-0683-1492</t>
  </si>
  <si>
    <t>Economic and Social Research Council [ES/P000630/1]; South-West Doctoral Training Partnership PhD studentship</t>
  </si>
  <si>
    <t>Economic and Social Research Council(UK Research &amp; Innovation (UKRI)Economic &amp; Social Research Council (ESRC)); South-West Doctoral Training Partnership PhD studentship</t>
  </si>
  <si>
    <t>This work was supported by the Economic and Social Research Council [Grant Number: ES/P000630/1], with TA receiving a South-West Doctoral Training Partnership PhD studentship. The authors would like to thank all of the participants who took part in this study. We would also like to thank C. Naylor for her help with data collection, as well as J. Lei and J. Norris for assistance with participant recruitment.</t>
  </si>
  <si>
    <t>NATURE PORTFOLIO</t>
  </si>
  <si>
    <t>HEIDELBERGER PLATZ 3, BERLIN, 14197, GERMANY</t>
  </si>
  <si>
    <t>2045-2322</t>
  </si>
  <si>
    <t>SCI REP-UK</t>
  </si>
  <si>
    <t>Sci Rep</t>
  </si>
  <si>
    <t>OCT 13</t>
  </si>
  <si>
    <t>10.1038/s41598-021-99864-y</t>
  </si>
  <si>
    <t>WG5KC</t>
  </si>
  <si>
    <t>WOS:000707032500082</t>
  </si>
  <si>
    <t>Moon, J; Ke, FF; Sokolikj, Z</t>
  </si>
  <si>
    <t>Moon, Jewoong; Ke, Fengfeng; Sokolikj, Zlatko</t>
  </si>
  <si>
    <t>Automatic assessment of cognitive and emotional states in virtual reality-based flexibility training for four adolescents with autism</t>
  </si>
  <si>
    <t>SPECTRUM DISORDER; CHILDREN; MEMORY; CLASSIFICATION; INTERVENTION; RECOGNITION; EXPERIENCES; STUDENTS; DESIGN</t>
  </si>
  <si>
    <t>Tracking students' learning states to provide tailored learner support is a critical element of an adaptive learning system. This study explores how an automatic assessment is capable of tracking learners' cognitive and emotional states during virtual reality (VR)-based representational-flexibility training. This VR-based training program aims to promote the flexibility of adolescents with autism spectrum disorder (ASD) in interpreting, selecting and creating multimodal representations during STEM-related design problem solving. For the automatic assessment, we used both natural language processing (NLP) and machine-learning techniques to develop a multi-label classification model. We then trained the model with the data from a total of audio- and video-recorded 66 training sessions of four adolescents with ASD. To validate the model, we implemented both k-fold cross-validations and the manual evaluations by expert reviewers. The study finding suggests the feasibility of implementing the NLP and machine-learning driven automatic assessment to track and assess the cognitive and emotional states of individuals with ASD during VR-based flexibility training. The study finding also denotes the importance and viability of providing adaptive supports to maintain learners' cognitive and affective engagement in a highly interactive digital learning environment.</t>
  </si>
  <si>
    <t>[Moon, Jewoong; Ke, Fengfeng] Florida State Univ, Dept Educ Psychol &amp; Learning Syst, 1114 West Call St, Tallahassee, FL 32306 USA; [Sokolikj, Zlatko] Florida State Univ, Dept Sci Comp, Tallahassee, FL 32306 USA</t>
  </si>
  <si>
    <t>Moon, J (corresponding author), Florida State Univ, Dept Educ Psychol &amp; Learning Syst, 1114 West Call St, Tallahassee, FL 32306 USA.</t>
  </si>
  <si>
    <t>jewoong.moon@gmail.com</t>
  </si>
  <si>
    <t>National Science Foundation [1837917]; Direct For Education and Human Resources; Division Of Research On Learning [1837917] Funding Source: National Science Foundation</t>
  </si>
  <si>
    <t>National Science Foundation(National Science Foundation (NSF)); Direct For Education and Human Resources; Division Of Research On Learning(National Science Foundation (NSF)NSF - Directorate for STEM Education (EDU))</t>
  </si>
  <si>
    <t>This work was supported by the National Science Foundation [grant number 1837917].</t>
  </si>
  <si>
    <t>10.1111/bjet.13005</t>
  </si>
  <si>
    <t>NF6MJ</t>
  </si>
  <si>
    <t>WOS:000549762700001</t>
  </si>
  <si>
    <t>Babu, PRK; Oza, P; Lahiri, U</t>
  </si>
  <si>
    <t>Babu, Pradeep Raj Krishnappa; Oza, Poojan; Lahiri, Uttama</t>
  </si>
  <si>
    <t>Gaze-Sensitive Virtual Reality Based Social Communication Platform for Individuals with Autism</t>
  </si>
  <si>
    <t>Autism; virtual reality; eye-tracking; fixation duration; pupil diameter; blink rate; anxiety</t>
  </si>
  <si>
    <t>FACIAL EXPRESSIONS; VISUAL-ATTENTION; CHILDREN; ANXIETY; SKILLS; PERFORMANCE; DISORDERS; PATTERNS; THERAPY; PEOPLE</t>
  </si>
  <si>
    <t>Autism spectrum disorder (ASD) is often characterized by core deficits in social communication and ability to understand others' non-verbal emotional cues. This can be attributed to their atypical eye-gaze patterns along with reduced fixation towards communicator's face during social communication. With technological progress, Virtual Reality (VR) augmented with peripherals such as, eye tracker can offer a promising complementary assistive platform for presenting various social situations to this target group along with quantification of one's task performance and measurement of gaze-related indices. This paper presents the design of a VR-based social communication platform augmented with technologically-enhanced eye-tracking facility as a proof-of-concept application. We measured one's performance score along with real-time synchronized gaze-related indices while one interacted with VR-based social tasks having both context-relevant verbal and non-verbal components of social interaction. The results of a usability study carried out in the Indian sub-continent with eight pairs of individuals with ASD and typically-developing individuals showed the potential of our system to have implications on one's task performance and gaze-related indices in response to virtual peer's emotional expressions. The implication of emotions on gaze-related behavioral and physiological indices shows the potential of using gaze-related indices as bio-markers of one's anxiety during social communication.</t>
  </si>
  <si>
    <t>[Babu, Pradeep Raj Krishnappa] Indian Inst Technol Gandhinagar, Dept Cognit Sci, Gandhinagar 382355, India; [Oza, Poojan] Indian Inst Technol Gandhinagar, Gandhinagar 382355, India; [Oza, Poojan] Indraprastha Inst Informat Technol, Dept Elect, Delhi 110020, India; [Lahiri, Uttama] Indian Inst Technol Gandhinagar, Dept Elect Engn, Gandhinagar 382355, India</t>
  </si>
  <si>
    <t>Indian Institute of Technology System (IIT System); Indian Institute of Technology (IIT) - Gandhinagar; Indian Institute of Technology System (IIT System); Indian Institute of Technology (IIT) - Gandhinagar; Indraprastha Institute of Information Technology Delhi; Indian Institute of Technology System (IIT System); Indian Institute of Technology (IIT) - Gandhinagar</t>
  </si>
  <si>
    <t>Babu, PRK (corresponding author), Indian Inst Technol Gandhinagar, Dept Cognit Sci, Gandhinagar 382355, India.</t>
  </si>
  <si>
    <t>pradeepr@iitgn.ac.in; ozapoojan081@gmail.com; uttamalahiri@iitgn.ac.in</t>
  </si>
  <si>
    <t>Babu, Pradeep/AAK-1536-2021; Oza, Poojan/GYU-3643-2022</t>
  </si>
  <si>
    <t>Cognitive Science Research Initiative under DST, India; Ministry of Electronics and Information Technology, India</t>
  </si>
  <si>
    <t>The authors wish to thank the Pearl Special Needs Foundation, Ahmedabad and KGP Hospital, Baroda for helping us in enrolling the participants in our study. Also we thank Cognitive Science Research Initiative under DST, India for partially funding this research. We would also like to express our gratitude to Ministry of Electronics and Information Technology, India for offering fellowship support to the researcher under Visvesvaraya PhD Scheme.</t>
  </si>
  <si>
    <t>OCT-DEC</t>
  </si>
  <si>
    <t>10.1109/TAFFC.2016.2641422</t>
  </si>
  <si>
    <t>HC6NJ</t>
  </si>
  <si>
    <t>WOS:000451918200005</t>
  </si>
  <si>
    <t>Ross, V; Cox, DJ; Reeve, R; Brown, T; Moncrief, M; Schmitt, R; Gaffney, G</t>
  </si>
  <si>
    <t>Ross, Veerle; Cox, Daniel J.; Reeve, Ron; Brown, Timothy; Moncrief, Matthew; Schmitt, Rose; Gaffney, Gary</t>
  </si>
  <si>
    <t>Measuring the attitudes of novice drivers with autism spectrum disorder as an indication of apprehensive driving: Going beyond basic abilities</t>
  </si>
  <si>
    <t>anxiety; attitudes; autism spectrum disorders; driving; driving training; virtual reality</t>
  </si>
  <si>
    <t>ANXIETY DISORDERS; WORKING-MEMORY; CHILDREN; BEHAVIOR; CONSTRUCTION; METAANALYSIS; ALEXITHYMIA; ADOLESCENTS; PERFORMANCE; DIMENSIONS</t>
  </si>
  <si>
    <t>For some individuals with autism spectrum disorder, driving apprehension may interfere with the acquisition and application of driving privileges. The Driving Attitude Scale Parent-Report provides an indication of novice drivers' positive and negative attitudes toward driving. Responses were compared for parents of 66 autism spectrum disorder and 166 neuro-typical novice drivers. After the autism spectrum disorder drivers completed 3months of driver training, 60 parents repeated the Driving Attitude Scale Parent-Report. Parents reported autism spectrum disorder drivers to have less positive and more negative attitudes toward driving than parents of neuro-typical drivers. Parents of autism spectrum disorder drivers who received driving training in a safe/low-threat virtual reality driving simulator demonstrated a significant increase in positive attitudes and reduction in negative attitudes, compared to parents of autism spectrum disorder drivers undergoing routine driver training. The reports of parents of autism spectrum disorder drivers suggest potential problems with learning to drive that can go beyond general abilities and include driving apprehension.</t>
  </si>
  <si>
    <t>[Ross, Veerle] Hasselt Univ, Hasselt, Belgium; [Cox, Daniel J.; Reeve, Ron; Moncrief, Matthew] Univ Virginia, Hlth Sci Ctr, Charlottesville, VA USA; [Brown, Timothy; Schmitt, Rose; Gaffney, Gary] Univ Iowa, Iowa City, IA 52242 USA</t>
  </si>
  <si>
    <t>Hasselt University; University of Virginia; University of Iowa</t>
  </si>
  <si>
    <t>Cox, DJ (corresponding author), Univ Virginia, Virginia Driving Safety Lab, Hlth Sci Ctr, Box 800-223, Charlottesville, VA 22901 USA.</t>
  </si>
  <si>
    <t>djc4f@hscmail.mcc.virginia.edu</t>
  </si>
  <si>
    <t>Ross, Veerle/0000-0002-7830-7892; Gaffney, Gary/0000-0003-1842-7902</t>
  </si>
  <si>
    <t>Department of Defense [AR100495]</t>
  </si>
  <si>
    <t>Department of Defense(United States Department of Defense)</t>
  </si>
  <si>
    <t>The author(s) disclosed receipt of the following financial support for the research, authorship, and/or publication of this article: This research was supported by a grant from the Department of Defense award AR100495.</t>
  </si>
  <si>
    <t>10.1177/1362361317735959</t>
  </si>
  <si>
    <t>FT7GK</t>
  </si>
  <si>
    <t>WOS:000423320700007</t>
  </si>
  <si>
    <t>Matijevic, V; Secic, A; Masic, V; Sunic, M; Kolak, Z; Znika, M</t>
  </si>
  <si>
    <t>Matijevic, Valentina; Secic, Ana; Masic, Valentina; Sunic, Martina; Kolak, Zeljka; Znika, Mateja</t>
  </si>
  <si>
    <t>VIRTUAL REALITY IN REHABILITATION AND THERAPY</t>
  </si>
  <si>
    <t>ACTA CLINICA CROATICA</t>
  </si>
  <si>
    <t>Virtual reality exposure therapy; Rehabilitation; Developmental disabilities; Hand; Motor skills</t>
  </si>
  <si>
    <t>CEREBRAL-PALSY; CHILDREN; GAME; MOTOR</t>
  </si>
  <si>
    <t>This paper describes virtual reality and some of its potential applications in rehabilitation and therapy. Some aspects of this technology are discussed with respect to different problem areas (sensorimotor impairments, autism, learning difficulties), as well as previous research which investigated changes within some motor and motivation parameters in relation to rehabilitation of children with motor impairments. Emphasis is on the positive effects of virtual reality as a method in which rehabilitation and therapy can be offered and evaluated within a functional, purposeful and motivating context.</t>
  </si>
  <si>
    <t>[Matijevic, Valentina; Secic, Ana] Sestre Milosrdnice Univ, Ctr Hosp, Clin Dept Rheumatol Phys Med &amp; Rehabil, HR-10000 Zagreb, Croatia; [Masic, Valentina] Wink Bek Training &amp; Educ Ctr, Zagreb, Croatia; [Sunic, Martina] Croatian Pens Insurance Inst, Zagreb, Croatia; [Kolak, Zeljka] Vinkovci Gen Hosp, Dept Phys Med &amp; Rehabil, Vinkovci;, Croatia; [Znika, Mateja] Lavoslav Ruzicka Polytech, Pregrada, Croatia</t>
  </si>
  <si>
    <t>Matijevic, V (corresponding author), Sestre Milosrdnice Univ, Ctr Hosp, Clin Dept Rheumatol Phys Med &amp; Rehabil, Vinogradska C 29, HR-10000 Zagreb, Croatia.</t>
  </si>
  <si>
    <t>valentina.matijevic@gmail.com</t>
  </si>
  <si>
    <t>Matijević, Valentina/HTN-7847-2023</t>
  </si>
  <si>
    <t>Matijevic, Valentina/0000-0003-0096-2034</t>
  </si>
  <si>
    <t>SESTRE MILOSRDNICE UNIV HOSPITAL</t>
  </si>
  <si>
    <t>ZAGREB</t>
  </si>
  <si>
    <t>VINOGRADSKA C 29, ZAGREB, HR-10000, CROATIA</t>
  </si>
  <si>
    <t>0353-9466</t>
  </si>
  <si>
    <t>1333-9451</t>
  </si>
  <si>
    <t>ACTA CLIN CROAT</t>
  </si>
  <si>
    <t>Acta Clin. Croat.</t>
  </si>
  <si>
    <t>AC5XI</t>
  </si>
  <si>
    <t>WOS:000332593900006</t>
  </si>
  <si>
    <t>Farashi, S; Bashirian, S; Jenabi, E; Razjooyan, K</t>
  </si>
  <si>
    <t>Farashi, Sajjad; Bashirian, Saeid; Jenabi, Ensiyeh; Razjooyan, Katayoon</t>
  </si>
  <si>
    <t>Effectiveness of virtual reality and computerized training programs for enhancing emotion recognition in people with autism spectrum disorder: a systematic review and meta-analysis</t>
  </si>
  <si>
    <t>INTERNATIONAL JOURNAL OF DEVELOPMENTAL DISABILITIES</t>
  </si>
  <si>
    <t>Autism; virtual reality; computerized training programs; emotion; meta-analysis</t>
  </si>
  <si>
    <t>FACIAL AFFECT RECOGNITION; SOCIAL-SKILLS; ASPERGER-SYNDROME; YOUNG-ADULTS; CHILDREN; INDIVIDUALS; BRAIN; INTERVENTIONS; EXPRESSIONS; ENVIRONMENT</t>
  </si>
  <si>
    <t>Background: People with autism spectrum disorder (ASD) have difficulties recognizing emotions. Studies showed that virtual reality (VR) and computerized training programs might be used as potential tools for enhancing emotion recognition in such people. However, some inconsistencies were observed between the studies. Objective: In the current systematic review and meta-analysis, the potential of computerized and VR training programs were evaluated for enhancing emotion recognition in people with ASD. Method: Using PRISMA guidelines and a PICO model, eligible studies were retrieved and the pooled effect size was calculated. Results: This meta-analysis obtained the pooled effect of Cohen's d = 0.69 (95% CI: [0.49, 0.89]) that showed the positive effect of VR and computerized training on emotion recognition in people with ASD. The effectiveness was confirmed for different types of study design, and for both children and adults, while it was larger for non-VR computerized programs compared with VR counterparts. Conclusion-Due to the small sample size of this study and the substantial heterogeneity between studies, the outcomes should be considered with caution in practice. However, these outcomes can be considered for optimizing suitable computerized applications or as the hypothesis for future studies.</t>
  </si>
  <si>
    <t>[Farashi, Sajjad; Bashirian, Saeid; Jenabi, Ensiyeh] Hamadan Univ Med Sci, Autism Spectrum Disorders Res Ctr, Hamadan, Iran; [Farashi, Sajjad] Hamadan Univ Med Sci, Neurophysiol Res Ctr, Hamadan, Iran; [Bashirian, Saeid] Hamadan Univ Med Sci, Social Determinants Hlth Res Ctr, Hamadan, Iran; [Razjooyan, Katayoon] Shahid Beheshti Univ Med Sci, Sch Med, Dept Psychiat, Tehran, Iran</t>
  </si>
  <si>
    <t>Hamadan University of Medical Sciences; Hamadan University of Medical Sciences; Hamadan University of Medical Sciences; Shahid Beheshti University Medical Sciences</t>
  </si>
  <si>
    <t>Farashi, S (corresponding author), Hamadan Univ Med Sci, Autism Spectrum Disorders Res Ctr, Hamadan, Iran.</t>
  </si>
  <si>
    <t>sajjad_farashi@yahoo.com</t>
  </si>
  <si>
    <t>Farashi, Sajjad/AAY-2951-2021; Bashirian, Saeed/V-9329-2017; Jenabi, Ensiyeh/S-6919-2017</t>
  </si>
  <si>
    <t>Jenabi, Ensiyeh/0000-0002-4536-0814</t>
  </si>
  <si>
    <t>Hamadan University of Medical Sciences, Deputy of research and technology [140004293699/IR, UMSHA.REC.1400.085]</t>
  </si>
  <si>
    <t>Hamadan University of Medical Sciences, Deputy of research and technology</t>
  </si>
  <si>
    <t>This work was Funded by Hamadan University of Medical Sciences, Deputy of research and technology (Grant No. 140004293699/IR.UMSHA.REC.1400.085).</t>
  </si>
  <si>
    <t>TAYLOR &amp; FRANCIS LTD</t>
  </si>
  <si>
    <t>2-4 PARK SQUARE, MILTON PARK, ABINGDON OR14 4RN, OXON, ENGLAND</t>
  </si>
  <si>
    <t>2047-3869</t>
  </si>
  <si>
    <t>2047-3877</t>
  </si>
  <si>
    <t>INT J DEV DISABIL</t>
  </si>
  <si>
    <t>Int. J. Dev. Disabil.</t>
  </si>
  <si>
    <t>10.1080/20473869.2022.2063656</t>
  </si>
  <si>
    <t>APR 2022</t>
  </si>
  <si>
    <t>KL9U5</t>
  </si>
  <si>
    <t>WOS:000783403400001</t>
  </si>
  <si>
    <t>De Luca, R; Naro, A; Colucci, PV; Pranio, F; Tardiolo, G; Billeri, L; Le Cause, M; De Domenico, C; Portaro, S; Rao, GS; Calabrò, RS</t>
  </si>
  <si>
    <t>De Luca, Rosaria; Naro, Antonino; Colucci, Pia Valentina; Pranio, Federica; Tardiolo, Giuseppe; Billeri, Luana; Le Cause, Maria; De Domenico, Carmela; Portaro, Simona; Rao, Giuseppe; Calabro, Rocco Salvatore</t>
  </si>
  <si>
    <t>Improvement of brain functional connectivity in autism spectrum disorder: an exploratory study on the potential use of virtual reality</t>
  </si>
  <si>
    <t>JOURNAL OF NEURAL TRANSMISSION</t>
  </si>
  <si>
    <t>Virtual Reality Therapy (VRT); Autism Spectrum Disorder (ASD); Frontoparietal connectivity; Anxiety</t>
  </si>
  <si>
    <t>Patients with Autism Spectrum Disorder (ASD) need to be provided with behavioral, psychological, educational, or skill-building interventions as early as possible. Cognitive Behavior Therapy has proven useful to manage such problems. There is also growing evidence on the usefulness of Virtual Reality Therapy (VRT) in treating various functional deficits in ASD. This exploratory study is aimed at assessing the changes in cognitive functions in children with ASD, and the putative subtending neurophysiological mechanisms, following the provision of rehab training using an innovative VRT system. Twenty patients with ASD, aged 6-15 years, were provided with 24 sessions of VRT by using the pediatric module of the BTS NIRVANA System. Neuropsychological and EEG evaluations were carried out before and at the end of the training. After VRT, all patients showed a significant improvement in their cognitive-behavioral problems concerning attention processes, visuospatial cognition, and anxiety. These findings were paralleled by an evident reshape of frontoparietal connectivity in the alpha and theta frequency range. Our study suggests that VRT could be a useful and promising tool to improve ASD neurorehabilitation outcomes. This improvement is likely to occur through changes in frontoparietal network connectivity following VRT.</t>
  </si>
  <si>
    <t>[De Luca, Rosaria; Naro, Antonino; Colucci, Pia Valentina; Pranio, Federica; Tardiolo, Giuseppe; Billeri, Luana; Le Cause, Maria; De Domenico, Carmela; Portaro, Simona; Rao, Giuseppe; Calabro, Rocco Salvatore] IRCCS Ctr Neurolesi Bonino Pulejo, Via Palermo,C Casazza,SS113, I-98124 Messina, Italy</t>
  </si>
  <si>
    <t>Calabrò, RS (corresponding author), IRCCS Ctr Neurolesi Bonino Pulejo, Via Palermo,C Casazza,SS113, I-98124 Messina, Italy.</t>
  </si>
  <si>
    <t>Le Cause, Maria/AHD-2285-2022; Billeri, Luana/V-9702-2018; De Domenico, Carmela/JDD-0985-2023; Calabrò, Rocco/K-7520-2016; Pranio, Federica/AAB-4885-2020; PORTARO, SIMONA/GVS-8522-2022; Tardiolo, Giuseppe/ABA-6955-2021</t>
  </si>
  <si>
    <t>Le Cause, Maria/0000-0001-7709-9422; Billeri, Luana/0000-0002-0462-6364; calabro, rocco salvatore/0000-0002-8566-3166; De Domenico, Carmela/0009-0007-8868-8485; De Luca, Rosaria/0000-0001-9503-4366</t>
  </si>
  <si>
    <t>SPRINGER WIEN</t>
  </si>
  <si>
    <t>Vienna</t>
  </si>
  <si>
    <t>Prinz-Eugen-Strasse 8-10, A-1040 Vienna, AUSTRIA</t>
  </si>
  <si>
    <t>0300-9564</t>
  </si>
  <si>
    <t>1435-1463</t>
  </si>
  <si>
    <t>J NEURAL TRANSM</t>
  </si>
  <si>
    <t>J. Neural Transm.</t>
  </si>
  <si>
    <t>10.1007/s00702-021-02321-3</t>
  </si>
  <si>
    <t>MAR 2021</t>
  </si>
  <si>
    <t>Clinical Neurology; Neurosciences</t>
  </si>
  <si>
    <t>QY4MW</t>
  </si>
  <si>
    <t>WOS:000625711900002</t>
  </si>
  <si>
    <t>de Moraes, IAP; Monteiro, CBD; da Silva, TD; Massetti, T; Crocetta, TB; de Menezes, LD; Andrade, GPD; Ré, AHN; Dawes, H; Coe, S; Magalhaes, FH</t>
  </si>
  <si>
    <t>Pena de Moraes, Ibis Ariana; de Mello Monteiro, Carlos Bandeira; da Silva, Talita Dias; Massetti, Thais; Crocetta, Tania Brusque; de Menezes, Lilian Del Ciello; de Rezende Andrade, Gilda Pena; Nicolai Re, Alessandro Hervaldo; Dawes, Helen; Coe, Shelly; Magalhaes, Fernando Henrique</t>
  </si>
  <si>
    <t>Motor learning and transfer between real and virtual environments in young people with autism spectrum disorder: A prospective randomized cross over controlled trial</t>
  </si>
  <si>
    <t>autistic disorder; developmental disabilities; virtual reality; motor skills</t>
  </si>
  <si>
    <t>SENSORY PROCESSING PATTERNS; CEREBRAL-PALSY; CHILDREN; PERFORMANCE; TASK; COORDINATION; INDIVIDUALS; ATTENTION; SKILLS</t>
  </si>
  <si>
    <t>Autism spectrum disorder (ASD) is associated with persistent deficits in social communication and social interaction, including impaired multisensory integration, which might negatively impact cognitive and motor skill performance, and hence negatively affect learning of tasks. Considering that tasks in virtual environment may provide an engaging tool as adjuncts to conventional therapies, we set out to compare motor performance between young people with ASD and a typically developing (TD) control group that underwent coincident timing tasks based on Kinect (no physical contact) and on Keyboard (with physical contact) environments. Using a randomized repeated cross-over controlled trial design, 50 young people with ASD and 50 with TD, matched by age and sex were divided into subgroups of 25 people that performed the two first phases of the study (acquisition and retention) on the same device-real or virtual-and then switched to the other device to repeat acquisition and retention phases and finally switched on to a touch screen (transfer phase). Results showed that practice in the virtual task was more difficult (producing more errors), but led to a better performance in the subsequent practice in the real task, with more pronounced improvement in the ASD as compared to the TD group. It can be concluded that the ASD group managed to transfer the practice from a virtual to a real environment, indicating that virtual methods may enhance learning of motor and cognitive skills. A need for further exploration of its effect across a number of tasks and activities is warranted. Autism Res 2019. (c) 2019 International Society for Autism Research, Wiley Periodicals, Inc. Lay Summary Individuals with autism spectrum disorder are known to have difficulties with learning motor tasks. Considering that performing motor tasks in virtual environment may be an engaging tool as adjuncts to conventional therapies, we aimed to estimate performance in tasks regardless of physical touch. Results showed that participants had more difficulty using the non-touch task; however, virtual training improved performance on the physical (real) task. This result indicates that virtual methods could be a promising therapeutic approach for the ASD population.</t>
  </si>
  <si>
    <t>[Pena de Moraes, Ibis Ariana; de Mello Monteiro, Carlos Bandeira; Nicolai Re, Alessandro Hervaldo; Magalhaes, Fernando Henrique] Univ Sao Paulo, Sch Arts Sci &amp; Humanities, Sao Paulo, SP, Brazil; [Pena de Moraes, Ibis Ariana; de Mello Monteiro, Carlos Bandeira; da Silva, Talita Dias; Massetti, Thais; de Menezes, Lilian Del Ciello] Univ Sao Paulo, Postgrad Programme Rehabil Sci, Fac Med, Sao Paulo, SP, Brazil; [Crocetta, Tania Brusque] Fac Med ABC, Dept Morphol &amp; Physiol, Santo Andre, SP, Brazil; [de Rezende Andrade, Gilda Pena] Special Educ Sch Sao Bernardo Campo, Integrated Psychopedag Support Grp GAPI, Sao Paulo, Brazil; [Dawes, Helen] Oxford Brookes Univ, Inst Nursing &amp; Allied Hlth Res, Oxford, England; [Dawes, Helen; Coe, Shelly] Univ Oxford, Dept Clin Neurol, Oxford, England</t>
  </si>
  <si>
    <t>Universidade de Sao Paulo; Universidade de Sao Paulo; Faculdade de Medicina do ABC; Oxford Brookes University; University of Oxford</t>
  </si>
  <si>
    <t>de Moraes, IAP (corresponding author), 53 Cachoeira Palhal St, BR-05268260 Sao Paulo, SP, Brazil.</t>
  </si>
  <si>
    <t>ibisariana@yahoo.com.br</t>
  </si>
  <si>
    <t>Moraes, Íbis/IUM-1940-2023; Bandeira de Mello Monteiro, Carlos/P-2474-2016; Magalhaes, Fernando Henrique/A-1894-2013; Massetti, Thais/W-1111-2018; Re, Alessandro H. Nicolai/F-3301-2012; Dias da Silva-Magalhaes, Talita/F-6519-2012; Brusque Crocetta, Tania/I-6179-2017</t>
  </si>
  <si>
    <t>Moraes, Ibis/0000-0002-1672-2628; Bandeira de Mello Monteiro, Carlos/0000-0002-2661-775X; Magalhaes, Fernando Henrique/0000-0003-0783-6102; Menezes, Lilian/0000-0002-6804-5315; Massetti, Thais/0000-0001-6386-0241; Re, Alessandro H. Nicolai/0000-0001-8809-1688; Dias da Silva-Magalhaes, Talita/0000-0002-4683-4671; Dawes, Helen/0000-0002-2933-5213; Brusque Crocetta, Tania/0000-0001-7670-8943</t>
  </si>
  <si>
    <t>Fundacao de Amparo a Pesquisa do Estado de Sao Paulo (FAPESP) [2015/13096-1]; Conselho Nacional de Desenvolvimento Cientifico e Tecnologico [CNPq 400408/2016-3]</t>
  </si>
  <si>
    <t>Fundacao de Amparo a Pesquisa do Estado de Sao Paulo (FAPESP)(Fundacao de Amparo a Pesquisa do Estado de Sao Paulo (FAPESP)); Conselho Nacional de Desenvolvimento Cientifico e Tecnologico(Conselho Nacional de Desenvolvimento Cientifico e Tecnologico (CNPQ))</t>
  </si>
  <si>
    <t>We would like to thank the Integrated psycho-pedagogical support group (GAPI) Special Education School in Sao Bernardo do Campo, Brazil and to Coordenacao de Aperfeicoamento de Pessoal de Nivel Superior, Brazil (CAPES). Besides that, Fernando Henrique Magalhaes would like to thank for being spported by grants from Fundacao de Amparo a Pesquisa do Estado de Sao Paulo (FAPESP #2015/13096-1) and Conselho Nacional de Desenvolvimento Cientifico e Tecnologico (CNPq 400408/2016-3)</t>
  </si>
  <si>
    <t>10.1002/aur.2208</t>
  </si>
  <si>
    <t>KK8AA</t>
  </si>
  <si>
    <t>WOS:000488519800001</t>
  </si>
  <si>
    <t>Bioulac, S; de Sevin, E; Sagaspe, P; Claret, A; Philip, P; Micoulaud-Franchi, JA; Bouvard, MP</t>
  </si>
  <si>
    <t>Bioulac, S.; de Sevin, E.; Sagaspe, P.; Claret, A.; Philip, P.; Micoulaud-Franchi, J. A.; Bouvard, M. P.</t>
  </si>
  <si>
    <t>What do virtual reality tools bring to child and adolescent psychiatry?</t>
  </si>
  <si>
    <t>ENCEPHALE-REVUE DE PSYCHIATRIE CLINIQUE BIOLOGIQUE ET THERAPEUTIQUE</t>
  </si>
  <si>
    <t>French</t>
  </si>
  <si>
    <t>Virtual reality; Anxious disorders; Autistic spectrum disorder; Attention deficit hyperactivity disorder; Eating disorder</t>
  </si>
  <si>
    <t>ANXIETY DISORDERS; EXPOSURE THERAPY; BODY-IMAGE; ENVIRONMENT; PERFORMANCE; ADHD; PROFILE; HEALTH; AUTISM</t>
  </si>
  <si>
    <t>Virtual reality is a relatively new technology that enables individuals to immerse themselves in a virtual world. It offers several advantages including a more realistic, lifelike environment that may allow subjects to forget they are being assessed, allow a better participation and an increased generalization of learning. Moreover, the virtual reality system can provide multimodal stimuli, such as visual and auditory stimuli, and can also be used to evaluate the patient's multimodal integration and to aid rehabilitation of cognitive abilities. The use of virtual reality to treat various psychiatric disorders in adults (phobic anxiety disorders, post-traumatic stress disorder, eating disorders, addictions...) and its efficacy is supported by numerous studies. Similar research for children and adolescents is lagging behind. This may be particularly beneficial to children who often show great interest and considerable success on computer, console or videogame tasks. This article will expose the main studies that have used virtual reality with children and adolescents suffering from psychiatric disorders. The use of virtual reality to treat anxiety disorders in adults is gaining popularity and its efficacy is supported by various studies. Most of the studies attest to the significant efficacy of the virtual reality exposure therapy (or in virtuo exposure). In children, studies have covered arachnophobia social anxiety and school refusal phobia. Despite the limited number of studies, results are very encouraging for treatment in anxiety disorders. Several studies have reported the clinical use of virtual reality technology for children and adolescents with autistic spectrum disorders (ASD). Extensive research has proven the efficiency of technologies as support tools for therapy. Researches are found to be focused on communication and on learning and social imitation skills. Virtual reality is also well accepted by subjects with ASD. The virtual environment offers the opportunity to administer controlled tasks such as the typical neuropsychological tools, but in an environment much more like a standard classroom. The virtual reality classroom offers several advantages compared to classical tools such as more realistic and lifelike environment but also records various measures in standardized conditions. Most of the studies using a virtual classroom have found that children with Attention Deficit/Hyperactivity Disorder make significantly fewer correct hits and more commission errors compared with controls. The virtual classroom has proven to be a good clinical tool for evaluation of attention in ADHD. For eating disorders, cognitive behavioural therapy (CBT) program enhanced by a body image specific component using virtual reality techniques was shown to be more efficient than cognitive behavioural therapy alone. The body image-specific component using virtual reality techniques boots efficiency and accelerates the CBT change process for eating disorders. Virtual reality is a relatively new technology and its application in child and adolescent psychiatry is recent. However, this technique is still in its infancy and much work is needed including controlled trials before it can be introduced in routine clinical use. Virtual reality interventions should also investigate how newly acquired skills are transferred to the real world. At present virtual reality can be considered a useful tool in evaluation and treatment for child and adolescent disorders. (C) 2017 L'Encephale, Paris.</t>
  </si>
  <si>
    <t>[Bioulac, S.; Bouvard, M. P.] Ctr Hosp Charles Perrens, Pole Univ Psychiat Enfants &amp; Adolescents, 121 Rue Bechade, F-33076 Bordeaux, France; [Bioulac, S.; de Sevin, E.; Sagaspe, P.; Philip, P.; Micoulaud-Franchi, J. A.] Univ Bordeaux, CHU Pellegin, Sommeil Attent &amp; Neuropsychiat, USR 3413, Pl Amelie Raba Leon, F-33076 Bordeaux, France; [Bioulac, S.; de Sevin, E.; Sagaspe, P.; Philip, P.; Micoulaud-Franchi, J. A.] CHU Pellegrin, CNRS, USR 3413, SANPSY, Pl Amelie Raba Leon, F-33076 Bordeaux, France; [Sagaspe, P.; Philip, P.; Micoulaud-Franchi, J. A.] CHU Pellegrin, Clin Sommeil, Pl Amelie Raba Leon, F-33076 Bordeaux, France; [Claret, A.] CHU, Ctr Jean Abadie, 89 Rue Sablieres, F-33077 Bordeaux, France</t>
  </si>
  <si>
    <t>Centre National de la Recherche Scientifique (CNRS); CNRS - National Institute for Biology (INSB); Universite de Bordeaux; Universite de Bordeaux; Centre National de la Recherche Scientifique (CNRS); CNRS - National Institute for Biology (INSB); CHU Bordeaux; CHU Bordeaux; CHU Bordeaux; Universite de Bordeaux</t>
  </si>
  <si>
    <t>Bioulac, S (corresponding author), Ctr Hosp Charles Perrens, Pole Univ Psychiat Enfants &amp; Adolescents, 121 Rue Bechade, F-33076 Bordeaux, France.;Bioulac, S (corresponding author), Univ Bordeaux, CHU Pellegin, Sommeil Attent &amp; Neuropsychiat, USR 3413, Pl Amelie Raba Leon, F-33076 Bordeaux, France.;Bioulac, S (corresponding author), CHU Pellegrin, CNRS, USR 3413, SANPSY, Pl Amelie Raba Leon, F-33076 Bordeaux, France.</t>
  </si>
  <si>
    <t>stephaniebioulac@hotmail.com</t>
  </si>
  <si>
    <t>PHILIP, PIERRE/AAS-8889-2020; de Sevin, Etienne/AAE-6424-2020</t>
  </si>
  <si>
    <t>SAGASPE, Patricia/0000-0003-2845-1199; de Sevin, Etienne/0000-0001-6302-2192; bioulac, stephanie/0000-0003-2618-4234; MICOULAUD-FRANCHI, Jean-Arthur/0000-0002-5203-8444; PHILIP, Pierre/0000-0003-3267-634X</t>
  </si>
  <si>
    <t>MASSON EDITEUR</t>
  </si>
  <si>
    <t>MOULINEAUX CEDEX 9</t>
  </si>
  <si>
    <t>21 STREET CAMILLE DESMOULINS, ISSY, 92789 MOULINEAUX CEDEX 9, FRANCE</t>
  </si>
  <si>
    <t>0013-7006</t>
  </si>
  <si>
    <t>ENCEPHALE</t>
  </si>
  <si>
    <t>Enceph.-Rev. Psychiatr. Clin. Biol. Ther.</t>
  </si>
  <si>
    <t>10.1016/j.encep.2017.06.005</t>
  </si>
  <si>
    <t>Neurosciences; Psychiatry</t>
  </si>
  <si>
    <t>GM0TA</t>
  </si>
  <si>
    <t>WOS:000437768000013</t>
  </si>
  <si>
    <t>Fornasari, L; Chittaro, L; Ieronutti, L; Cottini, L; Dassi, S; Cremaschi, S; Molteni, M; Fabbro, F; Brambilla, P</t>
  </si>
  <si>
    <t>Fornasari, Livia; Chittaro, Luca; Ieronutti, Lucio; Cottini, Lucio; Dassi, Sebastiano; Cremaschi, Silvana; Molteni, Massimo; Fabbro, Franco; Brambilla, Paolo</t>
  </si>
  <si>
    <t>Navigation and exploration of an urban virtual environment by children with autism spectrum disorder compared to children with typical development</t>
  </si>
  <si>
    <t>Virtual reality; Navigation; Exploration; Disability; CBCL</t>
  </si>
  <si>
    <t>OBJECT EXPLORATION; REALITY; ADOLESCENTS; SKILLS; REHABILITATION; TECHNOLOGIES; MOTIVATION; BEHAVIOR</t>
  </si>
  <si>
    <t>Autism spectrum disorder (ASD) is a severe disorder therefore the importance to implement targeted interventions in order to improve daily life of children with ASD. For this purpose, virtual environments (VEs), i.e., simulations of the real world based on 3D computer graphics, can offer a safe learning environment for them. This study analyzed navigation and exploration of an urban VE by children with ASD in comparison to children with a typical development. Sixteen children with ASD and 16 matched control ones were involved. After an initial training phase, children carried out two tasks: the first one was navigating in an unfamiliar urban environment which they could freely explore; the second one was navigating in the same environment but with the goal of finding specific target objects, as in a treasure hunt. In the first task, children with ASD spent significantly less time in active exploration and explored fewer zones than controls. No differences were found between the two groups in the second task. Our data indicate that, when freely exploring an unfamiliar VE, children with ASD explore less the environment compared to the control ones. By repeating the exploration with a game-like goal, no differences were found. instead. Neuropsychological and motivational aspects should be considered in order to explain these findings. (C) 2013 Elsevier Ltd. All rights reserved.</t>
  </si>
  <si>
    <t>[Fornasari, Livia; Cottini, Lucio; Fabbro, Franco] Univ Udine, Dept Human Sci, I-33100 Udine, Italy; [Fornasari, Livia; Dassi, Sebastiano; Brambilla, Paolo] Univ Udine, Dept Expt &amp; Clin Med DISM, Interuniv Ctr Behav Neurosci, I-33100 Udine, Italy; [Chittaro, Luca; Ieronutti, Lucio] Univ Udine, Dept Math &amp; Comp Sci, Human Comp Interact Lab, I-33100 Udine, Italy; [Cremaschi, Silvana] Child Neuropsychiat Serv, ASS4, Udine, Italy</t>
  </si>
  <si>
    <t>University of Udine; University of Udine; University of Udine</t>
  </si>
  <si>
    <t>Brambilla, P (corresponding author), Univ Udine, Clin Psichiatr AOU, Interuniv Ctr Behav Neurosci, Dept Expt &amp; Clin Med DISM, Ple S Maria della Misericordia 15, I-33100 Udine, Italy.</t>
  </si>
  <si>
    <t>paolo.brambilla@uniud.it</t>
  </si>
  <si>
    <t>brambilla, paolo/B-4184-2010; Molteni, Massimo/K-8856-2016</t>
  </si>
  <si>
    <t>brambilla, paolo/0000-0002-4021-8456; CHITTARO, Luca/0000-0001-5975-4294; Molteni, Massimo/0000-0001-6268-5883</t>
  </si>
  <si>
    <t>10.1016/j.rasd.2013.04.007</t>
  </si>
  <si>
    <t>170FO</t>
  </si>
  <si>
    <t>WOS:000320836000005</t>
  </si>
  <si>
    <t>Schmidt, M; Newbutt, N; Schmidt, C; Glaser, N</t>
  </si>
  <si>
    <t>Schmidt, Matthew; Newbutt, Nigel; Schmidt, Carla; Glaser, Noah</t>
  </si>
  <si>
    <t>A Process-Model for Minimizing Adverse Effects when Using Head Mounted Display-Based Virtual Reality for Individuals with Autism</t>
  </si>
  <si>
    <t>FRONTIERS IN VIRTUAL REALITY</t>
  </si>
  <si>
    <t>autism; virtual reality; head-mounted displays; implementation; adverse effects; cybersickness</t>
  </si>
  <si>
    <t>OF-THE-ART; SPECTRUM DISORDER; YOUNG-ADULTS; EDUCATIONAL ACTIVITIES; CHILDREN; ADOLESCENTS; ANXIETY; INTERVENTION; ENVIRONMENTS; SKILLS</t>
  </si>
  <si>
    <t>Interest in the use of virtual reality technologies for individuals with autism spectrum disorders has been increasing for over two decades. Recently, research interest has been growing in the area of head mounted display-based virtual reality technologies, thanks to increased availability and affordability. Affordances and theorized benefits of headset-based virtual reality for individuals with autism spectrum disorders are quite promising. However, very little attention has been given in the literature to implementation safety and ethics. This is a particular concern in light of documented adverse effects associated with headset-based virtual reality. To approach this gap, this article details how the authors approached the issue of minimizing adverse effects with related and overlapping methods, but from two separate, independent research sites-one in the United States and one in the United Kingdom. A structured within- and across-case analysis of the two independent studies was conducted to identify central implementation processes and procedures. Analysis resulted in development of a model for minimizing potential adverse effects of headset-based virtual reality for this population. We assert that our model could provide clarity in terms of design and implementation of headset-based virtual reality for individuals with autism spectrum disorders, guide implementations of future researchers and practitioners, and contribute to minimizing and controlling for potential adverse effects.</t>
  </si>
  <si>
    <t>[Schmidt, Matthew; Newbutt, Nigel; Schmidt, Carla] Univ Florida, Educ Technol Program, Gainesville, FL 32611 USA; [Glaser, Noah] Univ Connecticut, Educ Psychol, Storrs, CT USA</t>
  </si>
  <si>
    <t>Schmidt, M (corresponding author), Univ Florida, Educ Technol Program, Gainesville, FL 32611 USA.</t>
  </si>
  <si>
    <t>Glaser, Noah/0000-0002-1966-2720; Schmidt, Matthew/0000-0002-8110-4367</t>
  </si>
  <si>
    <t>2673-4192</t>
  </si>
  <si>
    <t>FRONT VIRTUAL REAL</t>
  </si>
  <si>
    <t>Front. Virtual Real.</t>
  </si>
  <si>
    <t>MAR 19</t>
  </si>
  <si>
    <t>10.3389/frvir.2021.611740</t>
  </si>
  <si>
    <t>L2QA3</t>
  </si>
  <si>
    <t>WOS:001021743800001</t>
  </si>
  <si>
    <t>Mosher, MA; Carreon, AC</t>
  </si>
  <si>
    <t>Mosher, Maggie A.; Carreon, Adam C.</t>
  </si>
  <si>
    <t>Teaching social skills to students with autism spectrum disorder through augmented, virtual and mixed reality</t>
  </si>
  <si>
    <t>RESEARCH IN LEARNING TECHNOLOGY</t>
  </si>
  <si>
    <t>social validity; systematic review; virtual environment; social and emotional learning; technology delivered intervention</t>
  </si>
  <si>
    <t>HIGH-FUNCTIONING AUTISM; LEARNING ENVIRONMENTS; INTERVENTION PROGRAMS; CHILDREN; ADOLESCENTS; EDUCATION; VALIDITY; DESIGN; DISABILITIES; INSTRUCTION</t>
  </si>
  <si>
    <t>This systematic literature review was conducted to explore the social validity of augmented reality (AR), virtual reality (VR), and mixed reality (MR) as a means of providing social skill instruction to students with autism spectrum disorder (ASD). Forty-one articles met the inclusion criteria, including five studies utilizing AR and the remaining 36 utilizing VR for social skill interventions. No studies implemented MR. The targeted skills of the studies included emotion recognition, relationship skills, social awareness, cooperation, and executive functioning. The intervention was considered effective in 63% of studies, not effective in 10% of studies, and mixed results in 27% of studies. The social validity indicators reported by researchers ranged from two to 14 of 17 determined categories. Findings indicate the primary socially valid reasons for utilizing ARNR for social skill instruction were high student motivation toward the intervention and a positive attitude toward the technology. Findings indicate that increasing the role of parents, educators, and students as both social skill selectors and treatment agents and adding valid and reliable skill measures may improve the effects of an intervention. Sustainability may increase by providing training to both treatment agents and participants. AR has the potential to improve generalization and VR provides a practice environment for performance deficits. Combining these technologies may provide a more effective social skill intervention.</t>
  </si>
  <si>
    <t>[Mosher, Maggie A.] Univ Kansas, Dept Special Educ, Lawrence, KS 66045 USA; [Carreon, Adam C.] Georgia Southern Univ, Dept Elementary &amp; Special Educ, Statesboro, GA USA</t>
  </si>
  <si>
    <t>University of Kansas; University System of Georgia; Georgia Southern University</t>
  </si>
  <si>
    <t>Mosher, MA (corresponding author), Univ Kansas, Dept Special Educ, Lawrence, KS 66045 USA.</t>
  </si>
  <si>
    <t>Carreon, Adam/0000-0001-9677-8025; Mosher, Maggie/0000-0001-9079-231X</t>
  </si>
  <si>
    <t>ASSOC LEARNING TECHNOLOGY-ALT</t>
  </si>
  <si>
    <t>BICESTER</t>
  </si>
  <si>
    <t>PO BOX 460, BICESTER, OX26 9LW, ENGLAND</t>
  </si>
  <si>
    <t>2156-7069</t>
  </si>
  <si>
    <t>2156-7077</t>
  </si>
  <si>
    <t>RES LEARN TECHNOL</t>
  </si>
  <si>
    <t>Res. Learn. Technol.</t>
  </si>
  <si>
    <t>10.25304/rlt.v29.2626</t>
  </si>
  <si>
    <t>TX7SA</t>
  </si>
  <si>
    <t>WOS:000683287300001</t>
  </si>
  <si>
    <t>Moon, J; Ke, FF</t>
  </si>
  <si>
    <t>Moon, Jewoong; Ke, Fengfeng</t>
  </si>
  <si>
    <t>Exploring the treatment integrity of virtual reality-based social skills training for children with high-functioning autism</t>
  </si>
  <si>
    <t>Article; Early Access</t>
  </si>
  <si>
    <t>Social skill training; high-functioning autism; treatment integrity; Jaccard index; virtual reality; learning analytics</t>
  </si>
  <si>
    <t>SPECTRUM DISORDERS; INTERVENTIONS; ADOLESCENTS; COMPETENCE</t>
  </si>
  <si>
    <t>This mixed-method study explored the treatment integrity of virtual reality (VR)-based social skill training for children with high-functioning autism (HFA). In this study, we designed a VR-based social skills training environment using Opensimulator. Data were collected through screen recordings and behavioral observations of HFA children's actions during training. A total of 90 training sessions from 15 children with HFA were analyzed using Jaccard index, a proposed indicator of treatment integrity. To corroborate the Jaccard index scores, we also used thematic analysis to investigate the treatment integrity of the VR-based social skills training. Overall, this study confirmed that VR-based social skill training yielded high treatment integrity. In addition, the results showed that treatment integrity scores differed according to the types of social scenarios in learning activities. Lastly, this study described design implications that should be considered when VR-based social skill training is implemented.</t>
  </si>
  <si>
    <t>[Moon, Jewoong; Ke, Fengfeng] Florida State Univ, Educ Psychol &amp; Learning Syst Dept, Tallahassee, FL 32306 USA</t>
  </si>
  <si>
    <t>Moon, J (corresponding author), Florida State Univ, Educ Psychol &amp; Learning Syst Dept, Tallahassee, FL 32306 USA.</t>
  </si>
  <si>
    <t>Spencer Foundation [201400178]</t>
  </si>
  <si>
    <t>This work was supported by Spencer Foundation [#201400178].</t>
  </si>
  <si>
    <t>2019 MAY 3</t>
  </si>
  <si>
    <t>10.1080/10494820.2019.1613665</t>
  </si>
  <si>
    <t>ID1XV</t>
  </si>
  <si>
    <t>WOS:000471474700001</t>
  </si>
  <si>
    <t>Maskey, M; McConachie, H; Rodgers, J; Grahame, V; Maxwell, J; Tavernor, L; Parr, JR</t>
  </si>
  <si>
    <t>Maskey, Morag; McConachie, Helen; Rodgers, Jacqui; Grahame, Victoria; Maxwell, Jessica; Tavernor, Laura; Parr, Jeremy R.</t>
  </si>
  <si>
    <t>An intervention for fears and phobias in young people with autism spectrum disorders using flat screen computer-delivered virtual reality and cognitive behaviour therapy</t>
  </si>
  <si>
    <t>Autism spectrum disorder; Virtual reality; Cognitive behavioural therapy; Anxiety; Phobia; Fear</t>
  </si>
  <si>
    <t>CHILDREN; ANXIETY; SYMPTOMS</t>
  </si>
  <si>
    <t>Background: Specific fears and phobias are common in young people with autism spectrum disorder (ASD) and can impact greatly on daily functioning. Traditional treatment methods, such as real-life or imaginal exposure, may not be suitable for this population without adaptation and alternative interventions are needed. In previous studies, we established that delivering graded exposure through computer generated scenes in a fully immersive virtual reality environment (the Blue Room) is an effective intervention for some young people with ASD and specific fears/ phobias. In this study, we explored the same intervention delivered using flat screen, computer-delivered virtual reality graded exposure with cognitive behavioural therapy. Methods: Eight young people with ASD received one psychoeducation session followed by four 20 minute sessions of flat screen, computer-delivered virtual reality graded exposure with cognitive behaviour therapy (CBT) sessions with a psychologist. Follow up measures, including Target Behaviour change ratings, were taken at 6 weeks, 6 months and 12 months after intervention. Results: Four of the participants were classed as responders to the intervention and were able to function without the fear/phobia impacting their life. These improvements were maintained 12 months post-intervention. One participant was lost to follow-up and three participants were classed as non-responders to the intervention. Conclusions: Findings show that flat screen computer-delivered virtual reality with cognitive behaviour therapy can be an effective intervention for specific fears and phobias for some young people with ASD.</t>
  </si>
  <si>
    <t>[Maskey, Morag; Rodgers, Jacqui; Maxwell, Jessica; Parr, Jeremy R.] Newcastle Univ, Sir James Spence Inst, Inst Neurosci, Queen Victoria Rd, Newcastle Upon Tyne NE1 4LP, Tyne &amp; Wear, England; [McConachie, Helen] Newcastle Univ, Sir James Spence Inst, Inst Hlth &amp; Soc, Queen Victoria Rd, Newcastle Upon Tyne NE1 4LP, Tyne &amp; Wear, England; [Grahame, Victoria; Tavernor, Laura; Parr, Jeremy R.] Northumberland Tyne &amp; Wear NHS Fdn Trust, Complex Neurodev Disorders Serv, Walkergate Pk,Benfield Rd, Newcastle Upon Tyne NE6 4QD, Tyne &amp; Wear, England</t>
  </si>
  <si>
    <t>Parr, JR (corresponding author), Newcastle Univ, Royal Victoria Infirm, Sir James Spence Inst, Inst Neurosci, Level 3, Newcastle Upon Tyne NE1 4LP, Tyne &amp; Wear, England.</t>
  </si>
  <si>
    <t>Maskey, Morag/0000-0003-4100-2515; Maxwell, Jessica/0000-0002-4163-4240; McConachie, Helen/0000-0002-0713-3987</t>
  </si>
  <si>
    <t>Northumberland, Tyne and Wear NHS Foundation Trust Research Capacity Funding</t>
  </si>
  <si>
    <t>This study was funded by Northumberland, Tyne and Wear NHS Foundation Trust Research Capacity Funding.</t>
  </si>
  <si>
    <t>10.1016/j.rasd.2018.11.005</t>
  </si>
  <si>
    <t>HP5OL</t>
  </si>
  <si>
    <t>WOS:000461726300006</t>
  </si>
  <si>
    <t>Genova, HM; Lancaster, K; Morecraft, J; Haas, M; Edwards, A; DiBenedetto, M; Krch, D; DeLuca, J; Smith, MJ</t>
  </si>
  <si>
    <t>Genova, Helen M.; Lancaster, Katie; Morecraft, James; Haas, Mikayla; Edwards, Alexandra; DiBenedetto, Michael; Krch, Denise; DeLuca, John; Smith, Matthew J.</t>
  </si>
  <si>
    <t>A pilot RCT of virtual reality job interview training in transition-age youth on the autism spectrum</t>
  </si>
  <si>
    <t>Autism; Transition age youth; Adolescents; Job interview; Virtual reality; RCT</t>
  </si>
  <si>
    <t>VOCATIONAL OUTCOMES; SELF-PRESENTATION; YOUNG-ADULTS; EMPLOYMENT; INDIVIDUALS; EDUCATION; DISORDER; MIND</t>
  </si>
  <si>
    <t>Background: Adolescents on the autism spectrum may have difficulty obtaining and maintaining employment. One particular obstacle for adolescents on the autism spectrum is the job interview. The purpose of the current pilot randomized controlled trial is to examine the preliminary effectiveness and feasibility of a virtual reality job interview tool (VR-JIT) in improving job interview performance in adolescents on the autism spectrum. Method: The study was implemented in a high school setting. Fourteen adolescents on the autism spectrum were randomly divided into two groups: an experimental group (n = 7) and a services as usual (SAU) control group (n = 7). The intervention group received 10 h of VR-JIT, which in-cludes interviewing with a virtual human and receiving feedback. All participants performed a video-recorded mock job interview at pre-test and post-test, which was rated by blinded assessors to track interview skills. Students filled out questionnaires related to job interviewing anxiety and self-efficacy pre-and post-intervention. Feasibility metrics were recorded as well. Results: Repeated Measures ANOVA revealed improved a metric of job interview performance in the experimental group following the intervention compared to the control group, indicated by medium to large effect sizes. However, perceptions of anxiety and self-efficacy did not improve following the intervention. Students reported that the intervention was easy to use and enjoyable. Conclusions: The current pilot study indicates preliminary evidence of the VR-JIT's effectiveness in improving measures of job interview performance in adolescents on the autism spectrum, even though their own perceptions did not improve. Importantly, the VR-JIT intervention was implemented in a school setting, demonstrating feasibility in its adoption as part of curriculum to help improve employment outcomes in transition age youth on the autism spectrum.</t>
  </si>
  <si>
    <t>[Genova, Helen M.; Lancaster, Katie; Morecraft, James; Haas, Mikayla; Edwards, Alexandra; DiBenedetto, Michael; Krch, Denise; DeLuca, John] Kessler Fdn, 120 Eagle Rock Ave,Suite 100, E Hanover, NJ USA; [Genova, Helen M.; Lancaster, Katie; Krch, Denise; DeLuca, John] Rutgers New Jersey Med Sch, 90 Bergen St,Suite 3100, Newark, NJ USA; [Smith, Matthew J.] Univ Michigan, Sch Social Work, Ann Arbor, MI 48109 USA</t>
  </si>
  <si>
    <t>Rutgers University System; Rutgers University New Brunswick; Rutgers University Biomedical &amp; Health Sciences; University of Michigan System; University of Michigan</t>
  </si>
  <si>
    <t>Genova, HM (corresponding author), Ctr Neuropsychol &amp; Neurosci Res, 120 Eagle Rock Ave,Suite 100, E Hanover, NJ 07936 USA.</t>
  </si>
  <si>
    <t>hgenova@kesslerfoundation.org</t>
  </si>
  <si>
    <t>, James/0000-0002-2540-3194; Smith, Matthew/0000-0002-0079-1477</t>
  </si>
  <si>
    <t>Children's Specialized Hospital of New Jersey; New Jersey Governor's Council for Medical Research and Treatment of Autism [CAUT19APL027]; National Institute of Mental Health [1K18MH122847-01A1, R34 MH111531]; Reitman Foundation</t>
  </si>
  <si>
    <t>Children's Specialized Hospital of New Jersey; New Jersey Governor's Council for Medical Research and Treatment of Autism; National Institute of Mental Health(United States Department of Health &amp; Human ServicesNational Institutes of Health (NIH) - USANIH National Institute of Mental Health (NIMH)); Reitman Foundation</t>
  </si>
  <si>
    <t>This work was supported by Children's Specialized Hospital of New Jersey, the Reitman Foundation, the New Jersey Governor's Council for Medical Research and Treatment of Autism under Grant CAUT19APL027, and the National Institute of Mental Health (1K18MH122847-01A1, PI: Genova and R34 MH111531, PI: Smith) . We would like to thank Newmark High School (especially Dr. Regina Peter and Dr. Brian Kraminitz) for their involvement in this study and for the families who participated.</t>
  </si>
  <si>
    <t>10.1016/j.rasd.2021.101878</t>
  </si>
  <si>
    <t>WW6PS</t>
  </si>
  <si>
    <t>WOS:000718036600001</t>
  </si>
  <si>
    <t>Fong, CJ; Taylor, J; Berdyyeva, A; McClelland, AM; Murphy, KM; Westbrook, JD</t>
  </si>
  <si>
    <t>Fong, Carlton J.; Taylor, Joshua; Berdyyeva, Aynura; McClelland, Amanda M.; Murphy, Kathleen M.; Westbrook, John D.</t>
  </si>
  <si>
    <t>Interventions for improving employment outcomes for persons with autism spectrum disorders: A systematic review update</t>
  </si>
  <si>
    <t>CAMPBELL SYSTEMATIC REVIEWS</t>
  </si>
  <si>
    <t>HIGH-FUNCTIONING AUTISM; TRANSITION-AGE YOUTH; QUALITY-OF-LIFE; YOUNG-ADULTS; DEVELOPMENTAL-DISABILITIES; INTELLECTUAL DISABILITY; SUPPORTED EMPLOYMENT; SOCIAL-SKILLS; COMPETITIVE EMPLOYMENT; POSTSECONDARY EDUCATION</t>
  </si>
  <si>
    <t>Background: The incidence of autism spectrum disorders (ASD) is on the rise. Currently, 1 in 59 children are identified with ASD in the United States. ASD refers to a range of neurological disorders that involve some degree of difficulty with communication and interpersonal relationships. The range of the spectrum for autism disorders is wide with those at the higher functioning end often able to lead relatively independent lives and complete academic programs even while demonstrating social awkwardness. Those at the lower functioning end of the autism spectrum often demonstrate physical limitations, may lack speech, and have the inability to relate socially with others. As persons with ASD age, options such as employment become increasingly important as a consideration for long-term personal planning and quality of life. While many challenges exist for persons with ASD in obtaining and maintaining employment, some research shows that, with effective behavioral and social interventions, employment can occur. About 37% of individuals with ASD report having been employed for 12 months or more, 4 years after exiting high school. However, several studies show that individuals with ASD are more likely to lose their employment for behavioral and social interaction problems rather than their inability to perform assigned work tasks. Although Westbrook et al. (2012a, 2013, 2015) have reviewed the literature on interventions targeting employment for individuals with ASD, this review is outdated and does not account for recent developments in the field. Objectives: The objective of this review is to determine the effectiveness of employment interventions in securing and maintaining employment for adults and transition-age youth with ASD, updating two reviews by Westbrook et al. (2012a, 2013). Search Methods: The comprehensive search strategy used to identify relevant studies included a review of 28 relevant electronic databases. Search terminology for each of the electronic databases was developed from available database thesauri. Appropriate synonyms were used to maximize the database search output. Several international databases were included among the 28 databases searched. In addition, the authors identified and reviewed gray literature through analysis of reference lists of relevant studies. Unpublished dissertations and theses were also identified through database searches. The programs of conferences held by associations and organizations relevant to ASD and employment were also searched. In sum, the search strategy replicated and expanded the prior search methods used by Westbrook et al. (2012a, 2013). Selection Criteria: Selection criteria consisted of an intervention evaluation using a randomized controlled trial or quasi-experimental design, an employment outcome, and a population of individuals with ASD. Data Collection and Analysis: We updated the search from Westbrook et al., replicating and broadening the information retrieval processes. Our wide array of sources included electronic databases, gray literature, and conference and organization websites. Once all potentially relevant studies were located, pairs of coders evaluated the relevance of each title and abstract. Among the studies deemed potentially relevant, 278 were subjected to full-text retrieval and screening by pairs of coders. Because many intervention studies did not include employment outcomes, only three studies met our inclusion criteria. Given the small number of included studies, meta-analytic procedures were not used; rather, we opted to use more narrative and descriptive analysis to summarize the available evidence, including an assessment of risk of bias. Results: The systematic review update identified three studies that evaluated employment outcomes for interventions for individuals with ASD. All three studies identified in the review suggest that vocation-focused programs may have positive impacts on the employment outcomes for individuals with ASD. Wehman et al. indicated that participants in Project SEARCH had higher employment rates than control participants at both 9-month and 1-year follow-up time points. Adding autism spectrum disorder supports, Project SEARCH in Wehman et al.'s study also demonstrated higher employment rates for treatment participants than control participants at postgraduation, 3-month follow-up, and 12-month follow-up. Smith et al. found that virtual reality job interview training was able to increase the number of job offers treatment participants received compared to control participants. Authors' Conclusions:Given that prior reviews did not identify interventions with actual employment outcomes, the more recent emergence of evaluations of such programs is encouraging. This suggests that there is a growing body of evidence regarding interventions to enhance the employment outcomes for individuals with ASD but also greater need to conduct rigorous trials of vocation-based interventions for individuals with ASD that measure employment outcomes.</t>
  </si>
  <si>
    <t>[Fong, Carlton J.] Texas State Univ, San Marcos, TX USA; [Taylor, Joshua] Virginia Commonwealth Univ, Richmond, VA USA; [Berdyyeva, Aynura; Murphy, Kathleen M.; Westbrook, John D.] Amer Inst Res, Austin, TX USA; [McClelland, Amanda M.] Univ Texas Austin, Austin, TX 78712 USA</t>
  </si>
  <si>
    <t>Texas State University System; Texas State University San Marcos; Virginia Commonwealth University; American Institutes for Research; University of Texas System; University of Texas Austin</t>
  </si>
  <si>
    <t>Fong, CJ (corresponding author), Texas State Univ, Dept Curriculum &amp; Instruct, 601 Univ Dr, San Marcos, TX 78666 USA.</t>
  </si>
  <si>
    <t>carltonfong@txstate.edu</t>
  </si>
  <si>
    <t>Murphy, K/AAE-9812-2020; Fong, Carlton/H-5716-2019</t>
  </si>
  <si>
    <t>Fong, Carlton/0000-0003-4620-989X; Taylor, Josh/0000-0002-8512-6926</t>
  </si>
  <si>
    <t>National Institute on Disability, Independent Living, and Rehabilitation Research (NIDILRR) [90DP0077]; NIDILRR [90DP0077, 809835] Funding Source: Federal RePORTER</t>
  </si>
  <si>
    <t>National Institute on Disability, Independent Living, and Rehabilitation Research (NIDILRR)(United States Department of Health &amp; Human Services); NIDILRR(United States Department of Health &amp; Human Services)</t>
  </si>
  <si>
    <t>The contents of this review were developed under grant number 90DP0077 from the National Institute on Disability, Independent Living, and Rehabilitation Research (NIDILRR). NIDILRR is a Center within the Administration for Community Living (ACL), Department of Health and Human Services (HHS). The contents of this website do not necessarily represent the policy of NIDILRR, ACL, HHS, and you should not assume endorsement by the Federal Government.</t>
  </si>
  <si>
    <t>1891-1803</t>
  </si>
  <si>
    <t>CAMPBELL SYST REV</t>
  </si>
  <si>
    <t>Campbell Syst. Rev.</t>
  </si>
  <si>
    <t>e1185</t>
  </si>
  <si>
    <t>10.1002/cl2.1185</t>
  </si>
  <si>
    <t>Social Sciences, Interdisciplinary</t>
  </si>
  <si>
    <t>Social Sciences - Other Topics</t>
  </si>
  <si>
    <t>UP8TM</t>
  </si>
  <si>
    <t>WOS:000695646200009</t>
  </si>
  <si>
    <t>Mak, G; Zhao, L</t>
  </si>
  <si>
    <t>Mak, Grace; Zhao, Lea</t>
  </si>
  <si>
    <t>A systematic review: the application of virtual reality on the skill-specific performance in people with ASD</t>
  </si>
  <si>
    <t>Occupational therapy; virtual reality; Autism Spectrum Disorder</t>
  </si>
  <si>
    <t>AUTISM SPECTRUM DISORDER; CHILDREN; ADULTS</t>
  </si>
  <si>
    <t>Given the prevalence of Autism Spectrum Disorder (ASD) and the demand for treatment, there is a continuous seeking and uncertainty of effective interventions for people with ASD. As technology continues to advance, the application of Virtual Reality is emerging in clinical settings. This systematic review summarised findings to evaluate the application of virtual reality (VR) on the skill-specific performance in people with ASD. The purpose is to determine (1) if VR is an effective treatment for people with ASD in skill-specific performance and (2) can Occupational Therapists employ VR in their practice. Eight databases were systematically searched for peer-reviewed articles that were published from January 2012 to February 2018. Eight articles met the inclusion criteria. The measurements of specific skills were categorised into three main domains: job interviewing, driving, and other ADLs. A diverse range of outcome measures were utilised and provided various results. Despite the consistent positive results reported in the studies, the current evidence base lacks justification of sample sizes, reliability and validity of the findings. Although VR shows potential as an effective intervention, limitations and bias of studies should be considered. Results of studies must be interpreted with caution if Occupational Therapists are interested in employing VR in their practice.</t>
  </si>
  <si>
    <t>[Mak, Grace; Zhao, Lea] Univ South Australia, Sch Hlth Sci, Adelaide, SA, Australia</t>
  </si>
  <si>
    <t>University of South Australia</t>
  </si>
  <si>
    <t>Mak, G (corresponding author), Univ South Australia, Sch Hlth Sci, Adelaide, SA, Australia.</t>
  </si>
  <si>
    <t>makgt001@mymail.unisa.edu.au</t>
  </si>
  <si>
    <t>Mak, Grace/0000-0003-3624-3082</t>
  </si>
  <si>
    <t>FEB 17</t>
  </si>
  <si>
    <t>10.1080/10494820.2020.1811733</t>
  </si>
  <si>
    <t>D3FG7</t>
  </si>
  <si>
    <t>WOS:000566625200001</t>
  </si>
  <si>
    <t>Jyoti, V; Lahiri, U</t>
  </si>
  <si>
    <t>Jyoti, Vishay; Lahiri, Uttama</t>
  </si>
  <si>
    <t>Human-Computer Interaction based Joint Attention cues: Implications on functional and physiological measures for children with autism spectrum disorder</t>
  </si>
  <si>
    <t>Autism spectrum disorder; Cue type; Human-computer interaction; Joint Attention; Physiology; Virtual reality</t>
  </si>
  <si>
    <t>SOCIAL COMMUNICATION; VIRTUAL-REALITY; EYE-TRACKING; INTERVENTION; BIDS</t>
  </si>
  <si>
    <t>One of the important facets of effective social communication is Joint Attention (JA). However, children with Autism Spectrum Disorder (ASD) are often characterized by JA-related deficits, adversely affecting their social communication. In conventional interventions, therapists use different types of JA cues depending on one's capability to pick up the delivered cue. Though effective, conventional approaches suffer from restricted healthcare resources, cost, etc. With an increase in computational power, investigators are exploring alternative robot-based and computer-based techniques for JA skill training while delivering different types of JA cues. However, robot-assisted techniques are powerful but suffer from limitations such as high cost, restricted flexibility, etc. Thus, researchers are exploring the use of computer-based techniques for JA skill training since it can be controllable, flexible, cost-effective, more accessible, etc. With the advent of rich graphics, researchers are augmenting computer-based interfaces with Virtual Reality (VR) while designing Human-Computer Interaction (HCI)-based JA tasks. Given the importance of VR-enabled HCI-based JA training platform, studying the comparative potential of different types of JA cues (having varying information content) implemented using a VR-enabled HCI-based task platform is important. In this research work, we presented a VR-enabled HCI-based JA task platform that can deliver avatar-mediated and environment-triggered JA cues of varying information content. Results of a preliminary study with twenty typically developing and twenty age-matched children with ASD indicate differentiated implications of JA cues of varying information content on one's functional and physiological measures.</t>
  </si>
  <si>
    <t>[Jyoti, Vishay] Indian Inst Technol Gandhinagar, Ctr Cognit &amp; Brain Sci, Gandhinagar, India; [Lahiri, Uttama] Indian Inst Technol Gandhinagar, Dept Elect Engn, Gandhinagar, India</t>
  </si>
  <si>
    <t>Indian Institute of Technology System (IIT System); Indian Institute of Technology (IIT) - Gandhinagar; Indian Institute of Technology System (IIT System); Indian Institute of Technology (IIT) - Gandhinagar</t>
  </si>
  <si>
    <t>Jyoti, V (corresponding author), Indian Inst Technol Gandhinagar, Ctr Cognit &amp; Brain Sci, Gandhinagar, India.</t>
  </si>
  <si>
    <t>vishay.jyoti@iitgn.ac.in; uttamalahiri@iitgn.ac.in</t>
  </si>
  <si>
    <t>Jyoti, Vishav/HKN-0678-2023</t>
  </si>
  <si>
    <t>Jyoti, Vishav/0000-0002-9892-2796</t>
  </si>
  <si>
    <t>TCS Ph.D. research fellowship; IIT Gandhinagar</t>
  </si>
  <si>
    <t>We express our gratitude to participants and their families for their cooperation in this research study. The authors are thankful to the local regular government school, Gandhinagar, Pearl special needs school, Ahmedabad, and BM institute of mental health, Ahmedabad, for helping us to enroll the participants for our study. Also, we thank the TCS Ph.D. research fellowship and IIT Gandhinagar for supporting this research.</t>
  </si>
  <si>
    <t>10.1016/j.chb.2019.106163</t>
  </si>
  <si>
    <t>KH3CW</t>
  </si>
  <si>
    <t>WOS:000510525100006</t>
  </si>
  <si>
    <t>Kourtesis, P; Kouklari, EC; Roussos, P; Mantas, V; Papanikolaou, K; Skaloumbakas, C; Pehlivanidis, A</t>
  </si>
  <si>
    <t>Kourtesis, Panagiotis; Kouklari, Evangelia-Chrysanthi; Roussos, Petros; Mantas, Vasileios; Papanikolaou, Katerina; Skaloumbakas, Christos; Pehlivanidis, Artemios</t>
  </si>
  <si>
    <t>Virtual Reality Training of Social Skills in Adults with Autism Spectrum Disorder: An Examination of Acceptability, Usability, User Experience, Social Skills, and Executive Functions</t>
  </si>
  <si>
    <t>virtual reality; training; autism; social skills; social cognition; executive functions; acceptability; usability; user experience; prompts</t>
  </si>
  <si>
    <t>TEST-RETEST RELIABILITY; WORKING-MEMORY; ASPERGER-SYNDROME; YOUNG-ADULTS; CHILDREN; METAANALYSIS; TASK; MIND; INTERVENTION; SAMPLE</t>
  </si>
  <si>
    <t>Poor social skills in autism spectrum disorder (ASD) are associated with reduced independence in daily life. Current interventions for improving the social skills of individuals with ASD fail to represent the complexity of real-life social settings and situations. Virtual reality (VR) may facilitate social skills training in social environments and situations similar to those in real life; however, more research is needed to elucidate aspects such as the acceptability, usability, and user experience of VR systems in ASD. Twenty-five participants with ASD attended a neuropsychological evaluation and three sessions of VR social skills training, which incorporated five social scenarios with three difficulty levels. Participants reported high acceptability, system usability, and user experience. Significant correlations were observed between performance in social scenarios, self-reports, and executive functions. Working memory and planning ability were significant predictors of the functionality level in ASD and the VR system's perceived usability, respectively. Yet, performance in social scenarios was the best predictor of usability, acceptability, and functionality level. Planning ability substantially predicted performance in social scenarios, suggesting an implication in social skills. Immersive VR social skills training in individuals with ASD appears to be an appropriate service, but an errorless approach that is adaptive to the individual's needs should be preferred.</t>
  </si>
  <si>
    <t>[Kourtesis, Panagiotis; Roussos, Petros] Natl &amp; Kapodistrian Univ Athens, Dept Psychol, Athens 15784, Greece; [Kourtesis, Panagiotis] Univ Edinburgh, Dept Psychol, Edinburgh EH8 9AD, Scotland; [Kouklari, Evangelia-Chrysanthi; Papanikolaou, Katerina] Natl &amp; Kapodistrian Univ Athens, Aghia Sophia Childrens Hosp, Sch Med, Dept Child Psychiat, Athens 11527, Greece; [Kouklari, Evangelia-Chrysanthi; Mantas, Vasileios; Pehlivanidis, Artemios] Natl &amp; Kapodistrian Univ Athens, Eginit Hosp, Sch Med, Dept Psychiat 1, Athens 11528, Greece; [Skaloumbakas, Christos] PA Kyriakou Childrens Hosp, Dept Child Psychiat, Athens 11528, Greece; [Skaloumbakas, Christos] Habilis, R&amp;D Team, Athens 14122, Greece</t>
  </si>
  <si>
    <t>National &amp; Kapodistrian University of Athens; University of Edinburgh; National &amp; Kapodistrian University of Athens; Athens Medical School; The Aghia Sophia Children's Hospital; Athens Medical School; National &amp; Kapodistrian University of Athens</t>
  </si>
  <si>
    <t>Kourtesis, P (corresponding author), Natl &amp; Kapodistrian Univ Athens, Dept Psychol, Athens 15784, Greece.;Kourtesis, P (corresponding author), Univ Edinburgh, Dept Psychol, Edinburgh EH8 9AD, Scotland.</t>
  </si>
  <si>
    <t>pkourtesis@psych.uoa.gr</t>
  </si>
  <si>
    <t>Roussos, Petros/F-3430-2011; Kourtesis, Panagiotis/ABA-9356-2020</t>
  </si>
  <si>
    <t>Kourtesis, Panagiotis/0000-0002-2914-1064; PEHLIVANIDIS, ARTEMIOS/0000-0002-3328-6258; Papanikolaou, Katerina/0000-0002-5774-5375</t>
  </si>
  <si>
    <t>10.3390/bs13040336</t>
  </si>
  <si>
    <t>E8ML6</t>
  </si>
  <si>
    <t>WOS:000978018100001</t>
  </si>
  <si>
    <t>Shahmoradi, L; Rezayi, S</t>
  </si>
  <si>
    <t>Shahmoradi, Leila; Rezayi, Sorayya</t>
  </si>
  <si>
    <t>Cognitive rehabilitation in people with autism spectrum disorder: a systematic review of emerging virtual reality-based approaches</t>
  </si>
  <si>
    <t>Virtual reality; Autism spectrum disorder; Cognitive rehabilitation; Virtual reality-based cognitive rehabilitation</t>
  </si>
  <si>
    <t>CHILDREN; ADOLESCENTS; SKILLS</t>
  </si>
  <si>
    <t>Introduction Emerging virtual technologies and cognitive rehabilitation methods are two new treatment approaches that can be used to strengthen cognitive functions in Autism Spectrum Disorder (ASD). The main aim of this study was to examine the effect of using virtual reality-based approaches on cognitive disorders of children and adults with ASD. Methods This systematic review was conducted on scientific papers to determine the effects of virtual reality-based technologies on the cognitive functions of children and adults with ASD. We identified 688 studies related to this topic and filtered them down to 17 articles, and then extracted the effects of interventions on cognitive outcomes. Results A total of 17 studies met the inclusion criteria, in which 226 persons with ASD had taken place. The sample size in the selected studies ranged from 1 to 56 participants (Median: 8, Q1: 3.5, Q3: 15.5). Four of the studies were case-control studies, ten were pre-test/post-test studies, and three were Randomized Control Trials (RCTs). Results of 16 studies showed significant progress in various cognitive indexes, such as task learning, attention, executive functioning, and daily skills in people with ASD. In most studies, virtual technologies had beneficial effects on reducing cognitive problems, but existing limitations could reduce their effectiveness. These limitations included the cost of virtual reality devices, inappropriate size of software, the weight of devices, potential addiction, intolerance of wearing glasses or headsets by people with autism (especially in children), and the possibility of eye injury. Conclusion Applying appropriate virtual-based approaches could improve cognitive indexes in people with ASD. However, further studies are needed to investigate the real effects of these technologies in the long run.</t>
  </si>
  <si>
    <t>[Shahmoradi, Leila; Rezayi, Sorayya] Univ Tehran Med Sci, Sch Allied Med Sci, Hlth Informat Management &amp; Med Informat Dept, Tehran, Iran</t>
  </si>
  <si>
    <t>Tehran University of Medical Sciences</t>
  </si>
  <si>
    <t>Rezayi, S (corresponding author), Univ Tehran Med Sci, Sch Allied Med Sci, Hlth Informat Management &amp; Med Informat Dept, Tehran, Iran.</t>
  </si>
  <si>
    <t>s_rezayi@razi.tums.ac.ir</t>
  </si>
  <si>
    <t>Shahmoradi, Leila/P-6406-2019; Rezayi, Sorayya/JFL-1273-2023</t>
  </si>
  <si>
    <t>Rezayi, Sorayya/0000-0001-7423-8853</t>
  </si>
  <si>
    <t>Tehran University of Medical Sciences [IR.TUMS.SPH.REC.1400.192]</t>
  </si>
  <si>
    <t>Tehran University of Medical Sciences(Tehran University of Medical SciencesGolestan University of Medical Sciences)</t>
  </si>
  <si>
    <t>This study was part of the corresponding author's Ph.D. dissertation, which was supported by Tehran University of Medical Sciences, (Ethics approval number: IR.TUMS.SPH.REC.1400.192).</t>
  </si>
  <si>
    <t>AUG 18</t>
  </si>
  <si>
    <t>10.1186/s12984-022-01069-5</t>
  </si>
  <si>
    <t>3V6DY</t>
  </si>
  <si>
    <t>WOS:000841753000001</t>
  </si>
  <si>
    <t>Newbutt, N; Schmidt, MM; Riva, G; Schmidt, C</t>
  </si>
  <si>
    <t>Newbutt, Nigel; Schmidt, Matthew M.; Riva, Giuseppe; Schmidt, Carla</t>
  </si>
  <si>
    <t>The possibility and importance of immersive technologies during COVID-19 for autistic people</t>
  </si>
  <si>
    <t>JOURNAL OF ENABLING TECHNOLOGIES</t>
  </si>
  <si>
    <t>Autism; Virtual reality; COVID-19; Autistic; Enabling technology; Immersive technology</t>
  </si>
  <si>
    <t>VIRTUAL-REALITY; ANXIETY DISORDERS; PROBLEM BEHAVIOR; CHILDREN</t>
  </si>
  <si>
    <t>Purpose The purpose of this paper is to identify three key areas where autistic people may find themselves impacted through COVID-19, namely, education; employment; and anxiety. Design/methodology/approach This paper provides some views based on the extensive experience of using immersive technologies for the utilisation and application with autistic groups during COVID-19. Findings This paper offers some examples of immersive technology application that might be helpful for practitioners, services and others to consider in overcoming possible challenges faced by people with autism. Originality/value This opinion piece offers expert insights to the role immersive technologies and virtual reality might play during COVID-19 in the lives of autistic groups.</t>
  </si>
  <si>
    <t>[Newbutt, Nigel] Univ West England, Dept Educ &amp; Childhood, Bristol, Avon, England; [Schmidt, Matthew M.; Schmidt, Carla] Univ Florida, Gainesville, FL USA; [Riva, Giuseppe] Univ Cattolica Sacro Cuore, Dept Psychol, Milan, Italy; [Riva, Giuseppe] Ist Auxol Italiano, Atn P Lab, Milan, Italy</t>
  </si>
  <si>
    <t>University of West England; State University System of Florida; University of Florida; Catholic University of the Sacred Heart; IRCCS Istituto Auxologico Italiano</t>
  </si>
  <si>
    <t>Newbutt, N (corresponding author), Univ West England, Dept Educ &amp; Childhood, Bristol, Avon, England.</t>
  </si>
  <si>
    <t>Riva, Giuseppe/C-5917-2008</t>
  </si>
  <si>
    <t>Riva, Giuseppe/0000-0003-3657-106X</t>
  </si>
  <si>
    <t>EMERALD GROUP PUBLISHING LTD</t>
  </si>
  <si>
    <t>Leeds</t>
  </si>
  <si>
    <t>Floor 5, Northspring 21-23 Wellington Street, Leeds, W YORKSHIRE, ENGLAND</t>
  </si>
  <si>
    <t>2398-6263</t>
  </si>
  <si>
    <t>J ENABLING TECHNOL</t>
  </si>
  <si>
    <t>J. Enabling Technol.</t>
  </si>
  <si>
    <t>DEC 9</t>
  </si>
  <si>
    <t>10.1108/JET-07-2020-0028</t>
  </si>
  <si>
    <t>NOV 2020</t>
  </si>
  <si>
    <t>Rehabilitation</t>
  </si>
  <si>
    <t>PH1WE</t>
  </si>
  <si>
    <t>WOS:000586816500001</t>
  </si>
  <si>
    <t>Simoes, M; Mouga, S; Pereira, AC; de Carvalho, P; Oliveira, G; Castelo-Branco, M</t>
  </si>
  <si>
    <t>Simoes, Marco; Mouga, Susana; Pereira, Andreia C.; de Carvalho, Paulo; Oliveira, Guiomar; Castelo-Branco, Miguel</t>
  </si>
  <si>
    <t>Virtual Reality Immersion Rescales Regulation of Interpersonal Distance in Controls but not in Autism Spectrum Disorder</t>
  </si>
  <si>
    <t>ASD; Interpersonal distance; Personal space regulation; Virtual reality; Virtual rehabilitation</t>
  </si>
  <si>
    <t>PERSONAL-SPACE; CHILDREN; ENVIRONMENTS; ADULTS; SKILLS</t>
  </si>
  <si>
    <t>Interpersonal distance (IPD) is a simple social regulation metric which is altered in autism. We performed a stop-distance paradigm to evaluate IPD regulation in autism spectrum disorder (ASD) and control groups in a real versus a virtual environment mimicking in detail the real one. We found a bimodal pattern of IPDs only in ASD. Both groups showed high IPD correlations between real and virtual environments, but the significantly larger slope in the control group suggests rescaling, which was absent in ASD. We argue that loss of nuances like non-verbal communication, such as perception of subtle body gestures in the virtual environment, lead to changed regulation of IPD in controls, whilst ASD participants show similar deficits in perceiving such subtle cues in both environments.</t>
  </si>
  <si>
    <t>[Simoes, Marco; Mouga, Susana; Pereira, Andreia C.; Oliveira, Guiomar; Castelo-Branco, Miguel] Univ Coimbra, CIBIT Coimbra Inst Biomed Imaging &amp; Translat Res, ICNAS Inst Nucl Sci Appl Hlth, Coimbra, Portugal; [Simoes, Marco; Mouga, Susana; Pereira, Andreia C.; Oliveira, Guiomar; Castelo-Branco, Miguel] Univ Coimbra, Fac Med, Coimbra, Portugal; [Simoes, Marco; de Carvalho, Paulo] Univ Coimbra, DEI, CISUC Ctr Informat &amp; Syst, Coimbra, Portugal; [Mouga, Susana; Oliveira, Guiomar] Ctr Hosp &amp; Univ Coimbra, Neurodev &amp; Autism Unit, Child Dev Ctr, Hosp Pediat, Coimbra, Portugal; [Oliveira, Guiomar] Univ Coimbra, Univ Clin Pediat, Fac Med, Coimbra, Portugal; [Mouga, Susana; Oliveira, Guiomar; Castelo-Branco, Miguel] Ctr Hosp &amp; Univ Coimbra, Ctr Invest &amp; Formacao Clin, Hosp Pediat, Coimbra, Portugal; [Pereira, Andreia C.] Kings Coll London, London, England</t>
  </si>
  <si>
    <t>Universidade de Coimbra; Universidade de Coimbra; Universidade de Coimbra; Universidade de Coimbra; Centro Hospitalar e Universitario de Coimbra (CHUC); Universidade de Coimbra; Universidade de Coimbra; Centro Hospitalar e Universitario de Coimbra (CHUC); University of London; King's College London</t>
  </si>
  <si>
    <t>Castelo-Branco, M (corresponding author), Univ Coimbra, CIBIT Coimbra Inst Biomed Imaging &amp; Translat Res, ICNAS Inst Nucl Sci Appl Hlth, Coimbra, Portugal.;Castelo-Branco, M (corresponding author), Univ Coimbra, Fac Med, Coimbra, Portugal.;Castelo-Branco, M (corresponding author), Ctr Hosp &amp; Univ Coimbra, Ctr Invest &amp; Formacao Clin, Hosp Pediat, Coimbra, Portugal.</t>
  </si>
  <si>
    <t>Simões, Marco/U-3815-2019; Oliveira, Guiomar/AAF-3911-2021; Castelo-Branco, Miguel/F-3866-2019; Mouga, Susana/AAF-6690-2020; C. Pereira, Andreia/HTQ-6832-2023</t>
  </si>
  <si>
    <t>Castelo-Branco, Miguel/0000-0003-4364-6373; Mouga, Susana/0000-0003-1072-4208; de Carvalho, Paulo/0000-0002-9847-0590; Simoes, Marco/0000-0003-3713-2464; C. Pereira, Andreia/0000-0003-4418-2638; Oliveira, Guiomar/0000-0002-7049-1277</t>
  </si>
  <si>
    <t>Foundation for Science and Technology (FCT) (Portugal) [UID/4950/2020, UID/NEU/04539/2013/POCI-01-0145-FEDER-007440, SFRH/BD/77044/2011, SFRH/BD/102779/2014]; BIGDATIMAGE, COMPETE [CENTRO-01-0145-FEDER-000016]; European Commission/Seventh Framework Program [FP7-HEALTH-2013-INNOVATION-1-602186-BRAINTRAIN]; Fundacao Luso Americana para o Desenvolvimento; Fundacao para a Ciencia e a Tecnologia [PAC-POCI-01-0145-FEDER-016428 MEDPERSYST, PCIF/SSO/0082/2018, CONNECT. BCI POCI-01-0145-FEDER-30852]; Fundação para a Ciência e a Tecnologia [SFRH/BD/77044/2011, PCIF/SSO/0082/2018, SFRH/BD/102779/2014] Funding Source: FCT</t>
  </si>
  <si>
    <t>Foundation for Science and Technology (FCT) (Portugal)(Fundacao para a Ciencia e a Tecnologia (FCT)); BIGDATIMAGE, COMPETE; European Commission/Seventh Framework Program; Fundacao Luso Americana para o Desenvolvimento; Fundacao para a Ciencia e a Tecnologia(Fundacao para a Ciencia e a Tecnologia (FCT)); Fundação para a Ciência e a Tecnologia(Fundacao para a Ciencia e a Tecnologia (FCT))</t>
  </si>
  <si>
    <t>This work was funded by Project UID/4950/2020, Strategic Project and UID/NEU/04539/2013/POCI-01-0145-FEDER-007440 and Fellowships SFRH/BD/77044/2011 (to MS) and SFRH/BD/102779/2014 (to SM) of the Foundation for Science and Technology (FCT) (Portugal); BIGDATIMAGE (CENTRO-01-0145-FEDER-000016), COMPETE; and FP7-HEALTH-2013-INNOVATION-1-602186-BRAINTRAIN, of the European Commission/Seventh Framework Program, Fundacao Luso Americana para o Desenvolvimento Award Number: FLAD Life Sciences ED2, Fundacao para a Ciencia e a Tecnologia: PAC-POCI-01-0145-FEDER-016428 MEDPERSYST, PCIF/SSO/0082/2018, CONNECT. BCI POCI-01-0145-FEDER-30852.</t>
  </si>
  <si>
    <t>10.1007/s10803-020-04484-6</t>
  </si>
  <si>
    <t>APR 2020</t>
  </si>
  <si>
    <t>OT6MH</t>
  </si>
  <si>
    <t>WOS:000524624300002</t>
  </si>
  <si>
    <t>Patrick, KE; Schultheis, MT; Agate, FT; McCurdy, MD; Daly, BP; Tarazi, RA; Chute, DL; Hurewitz, F</t>
  </si>
  <si>
    <t>Patrick, Kristina E.; Schultheis, Maria T.; Agate, F. Taylor; McCurdy, Mark D.; Daly, Brian P.; Tarazi, Reem A.; Chute, Douglas L.; Hurewitz, Felicia</t>
  </si>
  <si>
    <t>Executive function drives differences in simulated driving performance between young adults with and without autism spectrum disorder</t>
  </si>
  <si>
    <t>CHILD NEUROPSYCHOLOGY</t>
  </si>
  <si>
    <t>Autism spectrum disorder; driving; executive function</t>
  </si>
  <si>
    <t>DEFICIT HYPERACTIVITY DISORDER; OLDER DRIVERS; PREDICTORS; VALIDITY; SPEED; VALIDATION; SEVERITY; SYMPTOMS; BEHAVIOR</t>
  </si>
  <si>
    <t>Individuals with autism spectrum disorder (ASD) may experience greater difficulty learning to drive than peers who do not have ASD, but reasons for those differences are unclear. This study examined how diagnostic symptoms of ASD and commonly co-morbid executive dysfunction relate to differences in simulated driving performance between young, inexperienced drivers with and without ASD. Participants included 98 young adults, ages 16-26 years, half of which were diagnosed with ASD. Participants with ASD completed the Autism Diagnostic Observation Schedule (ADOS-2) and self- and parent-report versions of the Social Responsiveness Scale (SRS-2) to confirm diagnosis and assess the severity of ASD symptoms. All participants completed neuropsychological tests measuring executive functioning. Driving behaviors, including speed and lane positioning, were assessed on a virtual reality driving simulator. Analyses were conducted to first examine relationships between autism severity and driving behaviors, and then to examine whether neurocognitive performance mediated differences in driving behaviors between young adults with and without ASD. Controlling for age, gender, and licensure status, ASD symptom severity was not significantly related to driving. Neurocognitive variables were grouped into three factors: Speed of Information Processing, Auditory Attention and Working Memory, and Selective and Divided Attention. Speed of Information Processing significantly mediated group driving differences. Results suggest that assessment of executive functions such as processing speed may be more useful than the diagnostic assessment of ASD symptoms for evaluation of driving readiness.</t>
  </si>
  <si>
    <t>[Patrick, Kristina E.; Schultheis, Maria T.; Agate, F. Taylor; McCurdy, Mark D.; Daly, Brian P.; Chute, Douglas L.; Hurewitz, Felicia] Drexel Univ, Dept Psychol, Philadelphia, PA 19104 USA; [Patrick, Kristina E.] Univ Washington, Dept Neurol, Div Pediat Neurol, Seattle, WA 98195 USA; [Agate, F. Taylor] Univ Victoria, Dept Psychol, Victoria, BC, Canada; [Tarazi, Reem A.] Drexel Univ, Dept Psychiat, Div Neuropsychol, Philadelphia, PA 19104 USA</t>
  </si>
  <si>
    <t>Drexel University; University of Washington; University of Washington Seattle; University of Victoria; Drexel University</t>
  </si>
  <si>
    <t>Patrick, KE (corresponding author), Univ Washington, Dept Neurol, Seattle Childrens Hosp, Div Pediat Neurol, 4800 Sand Point Way NE, Seattle, WA 98105 USA.</t>
  </si>
  <si>
    <t>kristina.patrick@seattlechildrens.org</t>
  </si>
  <si>
    <t>American Psychological Association; A.J. Drexel Autism Institute</t>
  </si>
  <si>
    <t>This work was supported in part by a grant to the first author from the American Psychological Association and through a grant from the A.J. Drexel Autism Institute.</t>
  </si>
  <si>
    <t>0929-7049</t>
  </si>
  <si>
    <t>1744-4136</t>
  </si>
  <si>
    <t>CHILD NEUROPSYCHOL</t>
  </si>
  <si>
    <t>Child Neuropsychol.</t>
  </si>
  <si>
    <t>JUL 3</t>
  </si>
  <si>
    <t>10.1080/09297049.2020.1713311</t>
  </si>
  <si>
    <t>JAN 2020</t>
  </si>
  <si>
    <t>Clinical Neurology</t>
  </si>
  <si>
    <t>NI5ES</t>
  </si>
  <si>
    <t>WOS:000507217100001</t>
  </si>
  <si>
    <t>Patrick, KE; Hurewitz, F; McCurdy, MD; Agate, FT; Daly, BP; Tarazi, RA; Chute, DL; Schultheis, MT</t>
  </si>
  <si>
    <t>Patrick, Kristina E.; Hurewitz, Felicia; McCurdy, Mark D.; Agate, Frederic Taylor; Daly, Brian P.; Tarazi, Reem A.; Chute, Douglas L.; Schultheis, Maria T.</t>
  </si>
  <si>
    <t>Driving Comparisons Between Young Adults with Autism Spectrum Disorder and Typical Development</t>
  </si>
  <si>
    <t>JOURNAL OF DEVELOPMENTAL AND BEHAVIORAL PEDIATRICS</t>
  </si>
  <si>
    <t>autism spectrum disorder; driving; young adults; adolescents</t>
  </si>
  <si>
    <t>DEFICIT HYPERACTIVITY DISORDER; HIGH-FUNCTIONING AUTISM; CHILDREN; PERFORMANCE; SIMULATOR; DRIVERS; VALIDITY; BEHAVIOR; INTERVENTION; ADOLESCENTS</t>
  </si>
  <si>
    <t>Objective: Many individuals with autism spectrum disorder (ASD) are reluctant to pursue driving because of concerns about their ability to drive safely. This study aimed to assess differences in simulated driving performance in young adults with ASD and typical development, examining relationships between driving performance and the level of experience (none, driver's permit, licensed) across increasingly difficult driving environments. Method: Participants included 50 English-speaking young adults (16-26 years old) with ASD matched for sex, age, and licensure with 50 typically-developing (TD) peers. Participants completed a structured driving assessment using a virtual-reality simulator that included increasingly complex environmental demands. Differences in mean speed and speed and lane variability by diagnostic group and driving experience were analyzed using multilevel linear modeling. Results: Young adults with ASD demonstrated increased variability in speed and lane positioning compared with controls, even during low demand tasks. When driving demands became more complex, group differences were moderated by driving experience such that licensed drivers with ASD drove similarly to TD licensed drivers for most tasks, whereas unlicensed drivers with ASD had more difficulty with speed and lane management than TD drivers. Conclusion: Findings suggest that young adults with ASD may have more difficulty with basic driving skills than peers, particularly in the early stages of driver training. Increased difficulty compared with peers increases as driving demands become more complex, suggesting that individuals with ASD may benefit from a slow and gradual approach to driver training. Future studies should evaluate predictors of driving performance, on-road driving, and ASD-specific driving interventions.</t>
  </si>
  <si>
    <t>[Patrick, Kristina E.] Nationwide Childrens Hosp, Dept Pediat Psychol &amp; Neuropsychol, 700 Childrens Dr, Columbus, OH 43205 USA; [Hurewitz, Felicia] EdMent Consulting, Philadelphia, PA USA; [McCurdy, Mark D.; Agate, Frederic Taylor; Daly, Brian P.; Chute, Douglas L.; Schultheis, Maria T.] Drexel Univ, Dept Psychol, Philadelphia, PA 19104 USA; [Tarazi, Reem A.] Drexel Univ, Dept Psychiat, Coll Med, Div Neuropsychol, Philadelphia, PA 19104 USA</t>
  </si>
  <si>
    <t>University System of Ohio; Ohio State University; Nationwide Childrens Hospital; Drexel University; Drexel University</t>
  </si>
  <si>
    <t>Patrick, KE (corresponding author), Nationwide Childrens Hosp, Dept Pediat Psychol &amp; Neuropsychol, 700 Childrens Dr, Columbus, OH 43205 USA.</t>
  </si>
  <si>
    <t>kristina.patrick@nationwidechildrens.org</t>
  </si>
  <si>
    <t>Schultheis, Maria/0000-0002-6558-548X</t>
  </si>
  <si>
    <t>Supported in part by a grant to the first author from the American Psychological Association and through an internal grant from the A.J. Drexel Autism Institute.</t>
  </si>
  <si>
    <t>0196-206X</t>
  </si>
  <si>
    <t>1536-7312</t>
  </si>
  <si>
    <t>J DEV BEHAV PEDIATR</t>
  </si>
  <si>
    <t>J. Dev. Behav. Pediatr.</t>
  </si>
  <si>
    <t>JUL-AUG</t>
  </si>
  <si>
    <t>10.1097/DBP.0000000000000581</t>
  </si>
  <si>
    <t>Behavioral Sciences; Psychology, Developmental; Pediatrics</t>
  </si>
  <si>
    <t>Behavioral Sciences; Psychology; Pediatrics</t>
  </si>
  <si>
    <t>HD5IG</t>
  </si>
  <si>
    <t>WOS:000452561800001</t>
  </si>
  <si>
    <t>Lorenzo, GG; Newbutt, NN; Lorenzo-Lledó, AA</t>
  </si>
  <si>
    <t>Lorenzo, Gonzalo G. G.; Newbutt, Nigel N. N.; Lorenzo-Lledo, Alejandro A. A.</t>
  </si>
  <si>
    <t>Design Concepts for Solution and Solid-State Emitters - A Modern Viewpoint on Classical and Non-Classical Approaches</t>
  </si>
  <si>
    <t>Virtual reality; Systematic review; Technology; Autism Spectrum Disorders; Bibliometrics</t>
  </si>
  <si>
    <t>VIRTUAL LEARNING-ENVIRONMENT; AUTISM SPECTRUM DISORDER; SOCIAL-SKILLS; FACIAL EXPRESSIONS; SYSTEMATIC REVIEWS; AUGMENTED REALITY; JOINT ATTENTION; SERIOUS GAME; CHILDREN; ADOLESCENTS</t>
  </si>
  <si>
    <t>Nowadays, technology plays a fundamental role in the development of daily life activities. In this regard, there is an increase in disciplines that have used technologies, with educational fields standing out above all. Within education, there are a series of emerging technologies that are increasingly implemented in the classroom. Emerging technologies are also well aligned to autistic students and their specific learning and cognitive preferences. Therefore, the aim of this review is to carry out a systematic and thematic review on the application of Virtual reality (VR) in teaching and learning environments for autistic students during the period 1996-2021. Our analysis located a sample of 38 documents obtained from the WEB of Science and Scopus based on following Preferred Reporting Items for Systematic Reviews and Meta-Analysis (PRISMA) guidance. Our results highlight that much of the research was focused on areas of emotional recognition and social skills development. In addition, we found that when activities were interactive and realistic within the VR environments, the acceptance of this tool was improved for this specific population.</t>
  </si>
  <si>
    <t>[Lorenzo, Gonzalo G. G.; Lorenzo-Lledo, Alejandro A. A.] Univ Alicante, Dept Dev Psychol &amp; Teaching, Carretera San Vicente Raspeig S-N, Alicante 03690, Spain; [Newbutt, Nigel N. N.] Univ Florida, Coll Educ, Sch Teaching &amp; Learning, Gainesville, FL USA</t>
  </si>
  <si>
    <t>Universitat d'Alacant; State University System of Florida; University of Florida</t>
  </si>
  <si>
    <t>Lorenzo, GG (corresponding author), Univ Alicante, Dept Dev Psychol &amp; Teaching, Carretera San Vicente Raspeig S-N, Alicante 03690, Spain.</t>
  </si>
  <si>
    <t>glledo@ua.es</t>
  </si>
  <si>
    <t>Lorenzo, Gonzalo/L-8243-2017; Lorenzo-Lledo, Alejandro/L-9953-2017</t>
  </si>
  <si>
    <t>Lorenzo, Gonzalo/0000-0002-1997-6260; Lorenzo-Lledo, Alejandro/0000-0002-0224-5824</t>
  </si>
  <si>
    <t>Programa Estatal de I + D + i Ori-entado a los Retos de la Sociedad del Ministerio de Ciencia e Innovacion Espanol [PID2020-112611RB-I00]; Proyecto titled  La aplicacion de la realidad virtual y la robotica en la comunicacion e interaccion social de alumnado con Trastor no del Espectro Autista</t>
  </si>
  <si>
    <t>Programa Estatal de I + D + i Ori-entado a los Retos de la Sociedad del Ministerio de Ciencia e Innovacion Espanol; Proyecto titled  La aplicacion de la realidad virtual y la robotica en la comunicacion e interaccion social de alumnado con Trastor no del Espectro Autista</t>
  </si>
  <si>
    <t>The author(s) declared having received the following financial support for the research, author-ship and/or publication of this article: This work was supported by Programa Estatal de I + D + i Ori-entado a los Retos de la Sociedad del Ministerio de Ciencia e Innovacion Espanol.[grant number PID2020-112611RB-I00] and Proyecto titled  La aplicacion de la realidad virtual y la robotica en la comunicacion e interaccion social de alumnado con Trastor no del Espectro Autista.</t>
  </si>
  <si>
    <t>10.1007/s10639-022-11545-z</t>
  </si>
  <si>
    <t>JAN 2023</t>
  </si>
  <si>
    <t>P2WX1</t>
  </si>
  <si>
    <t>WOS:000913520900001</t>
  </si>
  <si>
    <t>Robles, M; Namdarian, N; Otto, J; Wassiljew, E; Navab, N; Falter-Wagner, C; Roth, D</t>
  </si>
  <si>
    <t>Robles, Marta; Namdarian, Negar; Otto, Julia; Wassiljew, Evelyn; Navab, Nassir; Falter-Wagner, Christine; Roth, Daniel</t>
  </si>
  <si>
    <t>A Virtual Reality Based System for the Screening and Classification of Autism</t>
  </si>
  <si>
    <t>IEEE Conference on Virtual Reality and 3D User Interfaces (IEEE VR)</t>
  </si>
  <si>
    <t>MAR 12-16, 2022</t>
  </si>
  <si>
    <t>ELECTR NETWORK</t>
  </si>
  <si>
    <t>IEEE,IEEE Comp Soc,ChristchurchNZ,Virbela,Univ Canterbury,Immers Learning Res Network,Qualcomm,HIT Lab NZ, Appl Immers Gaming Initiat</t>
  </si>
  <si>
    <t>Autism; Avatars; Tutorials; Virtual environments; Reliability; Machine learning; Three-dimensional displays; Virtual reality; autism; machine learning; agents; embodiment; diagnosis</t>
  </si>
  <si>
    <t>HIGH-FUNCTIONING AUTISM; EYE-TRACKING; CHILDREN; ADULTS; GAZE; QUOTIENT</t>
  </si>
  <si>
    <t>Autism - also known as Autism Spectrum Disorders or Autism Spectrum Conditions - is a neurodevelopmental condition characterized by repetitive behaviours and differences in communication and social interaction. As a consequence, many autistic individuals may struggle in everyday life, which sometimes manifests in depression, unemployment, or addiction. One crucial problem in patient support and treatment is the long waiting time to diagnosis, which was approximated to thirteen months on average. Yet, the earlier an intervention can take place the better the patient can be supported, which was identified as a crucial factor. We propose a system to support the screening of Autism Spectrum Disorders based on a virtual reality social interaction, namely a shopping experience, with an embodied agent. During this everyday interaction, behavioral responses are tracked and recorded. We analyze this behavior with machine learning approaches to classify participants from an autistic participant sample in comparison to a typically developed individuals control sample with high accuracy, demonstrating the feasibility of the approach. We believe that such tools can strongly impact the way mental disorders are assessed and may help to further find objective criteria and categorization.</t>
  </si>
  <si>
    <t>[Robles, Marta; Wassiljew, Evelyn; Falter-Wagner, Christine] Ludwig Maximilians Univ Munchen, Outpatient Clin, Munich, Germany; [Robles, Marta] Autonomus Univ Barcelona UAB, Dept Clin &amp; Hlth Psychol, Barcelona, Spain; [Namdarian, Negar; Otto, Julia; Navab, Nassir] Tech Univ Munich, Munich, Germany; [Roth, Daniel] Friedrich Alexander Univ Erlangen Nurnberg, Erlangen, Germany</t>
  </si>
  <si>
    <t>University of Munich; University of Hamburg; University Medical Center Hamburg-Eppendorf; Autonomous University of Barcelona; Technical University of Munich; University of Erlangen Nuremberg</t>
  </si>
  <si>
    <t>Roth, D (corresponding author), Friedrich Alexander Univ Erlangen Nurnberg, Erlangen, Germany.</t>
  </si>
  <si>
    <t>d.roth@fau.de</t>
  </si>
  <si>
    <t>Roth, Daniel/AFK-2613-2022</t>
  </si>
  <si>
    <t>MAY 1</t>
  </si>
  <si>
    <t>10.1109/TVCG.2022.3150489</t>
  </si>
  <si>
    <t>Science Citation Index Expanded (SCI-EXPANDED); Conference Proceedings Citation Index - Science (CPCI-S)</t>
  </si>
  <si>
    <t>1R1AK</t>
  </si>
  <si>
    <t>WOS:000803110400030</t>
  </si>
  <si>
    <t>Adiani, D; Itzkovitz, A; Bian, DY; Katz, H; Breen, M; Hunt, S; Swanson, A; Vogus, TJ; Wade, J; Sarkar, N</t>
  </si>
  <si>
    <t>Adiani, Deeksha; Itzkovitz, Aaron; Bian, Dayi; Katz, Harrison; Breen, Michael; Hunt, Spencer; Swanson, Amy; Vogus, Timothy J.; Wade, Joshua; Sarkar, Nilanjan</t>
  </si>
  <si>
    <t>Career Interview Readiness in Virtual Reality (CIRVR): A Platform for Simulated Interview Training for Autistic Individuals and Their Employers</t>
  </si>
  <si>
    <t>ACM TRANSACTIONS ON ACCESSIBLE COMPUTING</t>
  </si>
  <si>
    <t>Autism Spectrum Disorder; virtual job interview</t>
  </si>
  <si>
    <t>JOB INTERVIEW; SPECTRUM DISORDER; VOCATIONAL OUTCOMES; YOUNG-ADULTS; EMPLOYMENT; TRANSITION; DISABILITY; CHILDREN; STUDENTS; PROGRAM</t>
  </si>
  <si>
    <t>Employment outcomes for autistic(1) individuals are often poorer relative to their neurotypical (NT) peers, resulting in a greater need for other forms of financial and social support. While a great deal ofwork has focused on developing interventions for autistic children, relatively less attention has been paid to directly addressing the employment challenges faced by autistic adults. One key impediment to autistic individuals securing employment is the job interview. Autistic individuals often experience anxiety in interview situations, particularly with open-ended questions and unexpected interruptions. They also exhibit atypical gaze patterns that may be perceived as, but not necessarily indicative of, disinterest or inattention. In response, we developed a closed-loop adaptive virtual reality (VR)-based job interview training platform, which we have named Career Interview Readiness in VR (CIRVR). CIRVR is designed to provide an engaging, adaptive, and individualized experience to practice and refine interviewing skills in a less anxiety-inducing virtual context. CIRVR contains a real-time physiology-based stress detection module, as well as a real-time gaze detection module, to permit individualized adaptation. We also present the first prototype of the CIRVR Dashboard, which provides visualizations of data to help autistic individuals as well as potential employers and job coaches make sense of the data gathered from interview sessions. We conducted a feasibility study with 9 autistic and 8 NT individuals to assess the preliminary usability and feasibility of CIRVR. Results showed differences in perceived usability of the system between autistic and NT participants, and higher levels of stress in autistic individuals during interviews. Participants across both groups reported satisfaction with CIRVR and the structure of the interview. These findings and feedback will support future work in improving CIRVR's features in hopes for it to be a valuable tool to support autistic job candidates as well as their potential employers.</t>
  </si>
  <si>
    <t>[Adiani, Deeksha; Bian, Dayi] Vanderbilt Univ, Dept Elect Engn &amp; Comp Sci, 400 24th Ave S, Nashville, TN 37212 USA; [Itzkovitz, Aaron; Katz, Harrison; Breen, Michael; Hunt, Spencer] Vanderbilt Univ, Robot &amp; Autonomous Syst Lab, 2400 &amp; Lighland Ave, Nashville, TN 37212 USA; [Swanson, Amy] Vanderbilt Univ, Med Ctr, Treatment &amp; Res Inst Autism Spectrum Disorders TR, 110 Magnolia Cir, Nashville, TN 37203 USA; [Vogus, Timothy J.] Vanderbilt Univ, Owen Grad Sch Management, 401 21st Ave S, Nashville, TN 37203 USA; [Wade, Joshua; Sarkar, Nilanjan] Vanderbilt Univ, Dept Mech Engn, 2400 Highland Ave, Nashville, TN 37212 USA; [Adiani, Deeksha] Vanderbilt Univ, Dept Comp Sci, 400 24th Ave S, Nashville, TN 37212 USA</t>
  </si>
  <si>
    <t>Adiani, D (corresponding author), Vanderbilt Univ, Dept Elect Engn &amp; Comp Sci, 400 24th Ave S, Nashville, TN 37212 USA.;Adiani, D (corresponding author), Vanderbilt Univ, Dept Comp Sci, 400 24th Ave S, Nashville, TN 37212 USA.</t>
  </si>
  <si>
    <t>deeksha.m.adiani@vanderbilt.edu; itzkovitza@gmail.com; biandayi@gmail.com; harrisonmkatz@gmail.com; michael.breen@vanderbilt.edu; spencer.hunt@vanderbilt.edu; joshua.w.wade@gmail.com; nilanjan.sarkar@vanderbilt.edu</t>
  </si>
  <si>
    <t>Breen, Michael/N-7051-2016; Vogus, Tim/N-3820-2016</t>
  </si>
  <si>
    <t>Bian, Dayi/0000-0003-4174-8149; Adiani, Deeksha/0000-0001-8652-0629</t>
  </si>
  <si>
    <t>Microsoft AI for Accessibility grant; National Science Foundation [1936970]; Office of Integrative Activities; Office Of The Director [1936970] Funding Source: National Science Foundation</t>
  </si>
  <si>
    <t>Microsoft AI for Accessibility grant(Microsoft); National Science Foundation(National Science Foundation (NSF)); Office of Integrative Activities; Office Of The Director(National Science Foundation (NSF)NSF - Office of the Director (OD)NSF - Office of Integrative Activities (OIA))</t>
  </si>
  <si>
    <t>This project was funded by a Microsoft AI for Accessibility grant and by the National Science Foundation under grant number 1936970.</t>
  </si>
  <si>
    <t>ASSOC COMPUTING MACHINERY</t>
  </si>
  <si>
    <t>1601 Broadway, 10th Floor, NEW YORK, NY USA</t>
  </si>
  <si>
    <t>1936-7228</t>
  </si>
  <si>
    <t>1936-7236</t>
  </si>
  <si>
    <t>ACM T ACCESS COMPUT</t>
  </si>
  <si>
    <t>ACM Trans. Access. Comput.</t>
  </si>
  <si>
    <t>10.1145/3505560</t>
  </si>
  <si>
    <t>Computer Science, Interdisciplinary Applications</t>
  </si>
  <si>
    <t>ZY0CQ</t>
  </si>
  <si>
    <t>WOS:000772259300003</t>
  </si>
  <si>
    <t>Bravou, V; Oikonomidou, D; Drigas, A</t>
  </si>
  <si>
    <t>Bravou, Vasiliki; Oikonomidou, Despoina; Drigas, Athanasios</t>
  </si>
  <si>
    <t>Applications of Virtual Reality for Autism Inclusion. A review</t>
  </si>
  <si>
    <t>RETOS-NUEVAS TENDENCIAS EN EDUCACION FISICA DEPORTE Y RECREACION</t>
  </si>
  <si>
    <t>Virtual Reality; Autism Spectrum Disorder; Application; Intervention</t>
  </si>
  <si>
    <t>CHILDREN; STUDENTS; SYSTEM; DESIGN; PEOPLE; SKILLS</t>
  </si>
  <si>
    <t>Children with Autism Spectrum Disorder present several difficulties in social interaction, communication obstacles and restricted and repeated behaviors. Social connection with others is typically challenging for them, and they are frequently unsure of how to react to other people's emotions, facial expressions, and movements of their body, and especially of how to respond to various social circumstances. Recent review studies regarding VR for children with ASD have found that most of the relevant interventions aimed at improving social and emotional skills, as well as common activities of everyday life. In this work, we are going to present studies of the most current applications of VR technologies to the education of students with ASD with the aim to gain an updated overview of the use of VR in this field. A thorough search was conducted in Scopus and Pubmed databases, as well as through Google Scholar, using the keywords 'Virtual Reality', 'Autism Spectrum Disorder', `application' , ' intervention' , students',` education' and their combinations, for the period 2015-2021. Our search was limited to studies presented in English. A total of eight (8) studies met the inclusion criteria.The majority of the results we described were positive and quite encouraging, as the deficits in these domains are life- determining for individuals with ASD. Given that many barriers (e.g., regarding cost and comfort issues) to using the VR technologies have been overcome, more effort should be put to the production of wider and more robust experimental research in the specific field, as well as to the testing of generalizability issues in real life.</t>
  </si>
  <si>
    <t>[Bravou, Vasiliki; Oikonomidou, Despoina; Drigas, Athanasios] NCSR Demokritos, Athens, Greece</t>
  </si>
  <si>
    <t>National Centre of Scientific Research Demokritos</t>
  </si>
  <si>
    <t>Bravou, V (corresponding author), NCSR Demokritos, Athens, Greece.</t>
  </si>
  <si>
    <t>FEDERACION ESPANOLA ASOC DOCENTES EDUCACION FISICA-FEADEF</t>
  </si>
  <si>
    <t>MURCIA</t>
  </si>
  <si>
    <t>C CABO VIDIO 27, SAN JAVIER, MURCIA, 30730, SPAIN</t>
  </si>
  <si>
    <t>1579-1726</t>
  </si>
  <si>
    <t>1988-2041</t>
  </si>
  <si>
    <t>RETOS-NUEV TEND EDUC</t>
  </si>
  <si>
    <t>Retos</t>
  </si>
  <si>
    <t>Hospitality, Leisure, Sport &amp; Tourism</t>
  </si>
  <si>
    <t>1I6GK</t>
  </si>
  <si>
    <t>WOS:000797326300001</t>
  </si>
  <si>
    <t>Jyoti, Vishav; Lahiri, Uttama</t>
  </si>
  <si>
    <t>Virtual Reality Based Joint Attention Task Platform for Children With Autism</t>
  </si>
  <si>
    <t>Task analysis; Training; Protocols; Virtual environments; Autism; Robots; Autism; hierarchical prompt protocol (HPP); joint attention (JA); virtual reality (VR)</t>
  </si>
  <si>
    <t>DESIGN; GAZE; BIDS</t>
  </si>
  <si>
    <t>Children with autism spectrum disorder (ASD) are characterized by deficits in social communication, partly attributed to the inability to pick up cues from social partners using joint attention (JA) skill. These deficits have cascading adverse effects on language acquisition and the development of cognitive skills. Therapist-mediated JA interventions are labor intensive. Robot-facilitated skill training is expensive, need specialized knowledge to operate, etc. In contrast, computer-based JA skill training platforms are affordable, offers flexibility to the designer, but lack individualization. Individualization is critical for effective skill training. To bridge this gap, we have developed virtual reality based JA task platform augmented with hierarchical prompt protocol (using eye, head turn, finger pointing, and sparkling cues). It was adaptive to individualized performance and autonomously increased level of prompting on demand. Results of a study with 20 pairs of age-matched ASD and typically developing (TD) participants indicate the potential of our system to identify JA skill deficits. Participants with ASD showed impairment in following eye cue. However, their ability to pick up finger pointing was the best, with some of them being able to pick up only the sparkling cue. However, all TD participants were able to pick up eye cue with none requiring other cues.</t>
  </si>
  <si>
    <t>[Jyoti, Vishav] Indian Inst Technol Gandhinagar, Ctr Cognit &amp; Brain Sci, Gandhinagar 382355, India; [Lahiri, Uttama] Indian Inst Technol Gandhinagar, Discipline Elect Engn, Gandhinagar 382355, India</t>
  </si>
  <si>
    <t>Jyoti, V (corresponding author), Indian Inst Technol Gandhinagar, Ctr Cognit &amp; Brain Sci, Gandhinagar 382355, India.</t>
  </si>
  <si>
    <t>vishav.jyoti@iitgn.ac.in; uttamalahiri@iitgn.ac.in</t>
  </si>
  <si>
    <t>Jyoti, Vishav/0000-0002-9892-2796; LAHIRI, UTTAMA/0000-0002-0607-5404</t>
  </si>
  <si>
    <t>TCS Ph.D. research scholarship; IIT Gandhinagar</t>
  </si>
  <si>
    <t>The authors would like to thank the Pearl Special Needs Foundation, BM Institute of Mental Health, Ahmedabad, and Primary Government School, Gandhinagar, for providing the participants for our study. They are also thankful to the participants and their families for their kind cooperation and support for our study. They would also like to express our gratitude to TCS Ph.D. research scholarship and IIT Gandhinagar for funding this research.</t>
  </si>
  <si>
    <t>10.1109/TLT.2019.2912371</t>
  </si>
  <si>
    <t>KX9UF</t>
  </si>
  <si>
    <t>WOS:000522219600016</t>
  </si>
  <si>
    <t>Measuring the Behavioral Response to Spatial Audio within a Multi-Modal Virtual Reality Environment in Children with Autism Spectrum Disorder</t>
  </si>
  <si>
    <t>autism spectrum disorders; virtual reality; auditory processing; assistive technology; tools for therapy; multi-sensory; spatial audio; ambisonics</t>
  </si>
  <si>
    <t>SUPERIOR OLIVE; SOUND; LOCALIZATION; SENSE; CUES; SENSITIVITY; PERCEPTION; PEOPLE; ADULTS</t>
  </si>
  <si>
    <t>Virtual Reality (VR) has been an active area of research in the development of interactive interventions for individuals with autism spectrum disorder (ASD) for over two decades. These immersive environments create a safe platform in which therapy can address the core symptoms associated with this condition. Recent advancements in spatial audio rendering techniques for VR now allow for the creation of realistic audio environments that accurately match their visual counterparts. However, reported auditory processing impairments associated with autism may affect how an individual interacts with their virtual therapy application. This study aims to investigate if these difficulties in processing audio information would directly impact how individuals with autism interact with a presented virtual spatial audio environment. Two experiments were conducted with participants diagnosed with ASD (n = 29) that compared: (1) behavioral reaction between spatialized and non-spatialized audio; and (2) the effect of background noise on participant interaction. Participants listening to binaural-based spatial audio showed higher spatial attention towards target auditory events. In addition, the amount of competing background audio was reported to influence spatial attention and interaction. These findings suggest that despite associated sensory processing difficulties, those with ASD can correctly decode the auditory cues simulated in current spatial audio rendering techniques.</t>
  </si>
  <si>
    <t>[Johnston, Daniel; Egermann, Hauke; Kearney, Gavin] Univ York, Dept Elect Engn, Commun &amp; Signal Proc Res Grp, York Y010 5DD, N Yorkshire, England; [Egermann, Hauke] Univ York, Dept Mus, Mus Sci &amp; Technol Res Cluster, York Mus Psychol Grp, York Y010 5DD, N Yorkshire, England; Univ York, Dept Elect Engn, Communicat &amp; Signal Proc Res Grp, York Y010 5DD, N Yorkshire, England</t>
  </si>
  <si>
    <t>Kearney, G (corresponding author), Univ York, Dept Elect Engn, Commun &amp; Signal Proc Res Grp, York Y010 5DD, N Yorkshire, England.</t>
  </si>
  <si>
    <t>dij502@york.ac.uk</t>
  </si>
  <si>
    <t>Kearney, Gavin Cyril/0000-0002-0692-236X</t>
  </si>
  <si>
    <t>UK Engineering and Physical Sciences Research Council (EPSRC) Doctoral Training Award, via the Department of Electronic Engineering at the University of York, EPSRC [EP/N509802/1]; EPSRC [1947252] Funding Source: UKRI</t>
  </si>
  <si>
    <t>UK Engineering and Physical Sciences Research Council (EPSRC) Doctoral Training Award, via the Department of Electronic Engineering at the University of York, EPSRC(UK Research &amp; Innovation (UKRI)Engineering &amp; Physical Sciences Research Council (EPSRC)); EPSRC(UK Research &amp; Innovation (UKRI)Engineering &amp; Physical Sciences Research Council (EPSRC))</t>
  </si>
  <si>
    <t>AUG 1</t>
  </si>
  <si>
    <t>10.3390/app9153152</t>
  </si>
  <si>
    <t>IS4PB</t>
  </si>
  <si>
    <t>WOS:000482134500207</t>
  </si>
  <si>
    <t>Russo-Ponsaran, N; McKown, C; Johnson, J; Russo, J; Crossman, J; Reife, I</t>
  </si>
  <si>
    <t>Russo-Ponsaran, Nicole; McKown, Clark; Johnson, Jason; Russo, Jaclyn; Crossman, Jacob; Reife, Ilana</t>
  </si>
  <si>
    <t>Virtual Environment for Social Information Processing: Assessment of Children with and without Autism Spectrum Disorders</t>
  </si>
  <si>
    <t>social information processing; assessment; autism; children; peer relationships; social functioning</t>
  </si>
  <si>
    <t>PROBLEM-SOLVING SKILLS; STRESSFUL LIFE EVENTS; PRESCHOOL-CHILDREN; EMOTION PROCESSES; YOUNG-PEOPLE; COMPETENCE; QUESTIONNAIRE; ADOLESCENTS; MECHANISMS; RESPONSES</t>
  </si>
  <si>
    <t>Social information processing (SIP) skills are critical for developing and maintaining peer relationships. Building on existing assessment techniques, Virtual Environment for SIP (VESIPTM), a simulation-based assessment that immerses children in social decision-making scenarios, was developed. This study presents preliminary evidence of VESIP's usefulness for measuring SIP skills in children with and without autism spectrum disorders (ASD). Twenty-one children with ASD and 29 control children participated. It was hypothesized that (a) children (8-12 years old), with and without ASD, would understand and interact effectively with VESIP; (b) VESIP scores would be reliable in both populations; and (c) children with ASD would score lower on SIP domains than typically developing peers. Results supported these hypotheses. Finally, response bias was also evaluated, showing that children with ASD have different problem-solving strategies than their peers. VESIP has great potential as a scalable assessment of SIP strengths and challenges in children with and without ASD. Autism Res2018, 11: 305-317. (c) 2017 International Society for Autism Research, Wiley Periodicals, Inc. Lay SummaryChildren with autism spectrum disorders (ASDs) often struggle interpreting and responding to social situations. The present study suggests that an animated, simulation-based assessment approach is an effective way to measure how children with or without ASDs problem-solve challenging social situations. VESIP is an easy-to-use assessment tool that can help practitioners understand a child's particular strengths and weaknesses.</t>
  </si>
  <si>
    <t>[Russo-Ponsaran, Nicole; McKown, Clark; Johnson, Jason; Russo, Jaclyn] Rush Univ, Med Ctr, Dept Behav Sci, Chicago, IL 60612 USA; [Crossman, Jacob] Soar Technol Inc, Ann Arbor, MI USA; [Reife, Ilana] IIT, Chicago, IL 60616 USA; [Johnson, Jason] Univ Virginia, CASTL, Charlottesville, VA 22903 USA</t>
  </si>
  <si>
    <t>Rush University; Illinois Institute of Technology; University of Virginia</t>
  </si>
  <si>
    <t>Russo-Ponsaran, N (corresponding author), Rush Univ, Med Ctr, Rush Neurobehav Ctr, Dept Behav Sci, 4711 Golf Rd,Suite 1100, Skokie, IL 60076 USA.</t>
  </si>
  <si>
    <t>Nicole_Russo@rush.edu</t>
  </si>
  <si>
    <t>Russo-Ponsaran, Nicole/0000-0002-9430-152X</t>
  </si>
  <si>
    <t>National Institute on Disability and Rehabilitation Research [SBIR H133S110048]; Rush University Medical Center, Rush Translational Sciences Consortium</t>
  </si>
  <si>
    <t>National Institute on Disability and Rehabilitation Research; Rush University Medical Center, Rush Translational Sciences Consortium</t>
  </si>
  <si>
    <t>The research reported here was supported in part by grants from the National Institute on Disability and Rehabilitation Research (SBIR H133S110048) to Soar Technology and by a Rush University Medical Center, Rush Translational Sciences Consortium grant to Nicole Russo-Ponsaran. The opinions expressed are those of the authors and do not represent views of the Institute, the U.S. Department of Education. Thank you to the participants in this study, as well as Amanda Weigel-Kuznacic, Louis Fogg, Ashley Karls, Irene Wu, Eric Tucker, Jordan Lampi, Jim Thomas, Red Fenix, Bad Alien Productions, and Keith Knudsen for their contributions to this project.</t>
  </si>
  <si>
    <t>10.1002/aur.1889</t>
  </si>
  <si>
    <t>FX4OK</t>
  </si>
  <si>
    <t>WOS:000426057500009</t>
  </si>
  <si>
    <t>Fitzgerald, E; Yap, HK; Ashton, C; Moore, DW; Furlonger, B; Anderson, A; Kickbush, R; Donald, J; Busacca, M; English, DL</t>
  </si>
  <si>
    <t>Fitzgerald, Emily; Yap, Hui Kee; Ashton, Charlotte; Moore, Dennis W.; Furlonger, Brett; Anderson, Angelika; Kickbush, Richard; Donald, James; Busacca, Margherita; English, Derek L.</t>
  </si>
  <si>
    <t>Comparing the effectiveness of virtual reality and video modelling as an intervention strategy for individuals with Autism Spectrum Disorder: Brief report</t>
  </si>
  <si>
    <t>Adults; autism spectrum disorder; interventions; video modelling; virtual reality</t>
  </si>
  <si>
    <t>SKILLS; ADOLESCENTS; SERVICES; CHILDREN; ADULTS; ENVIRONMENTS; INSTRUCTION; OUTCOMES; TOOL</t>
  </si>
  <si>
    <t>The increasing numbers of individuals diagnosed with Autism Spectrum Disorder (ASD) has foreshadowed a greater need for effective intervention procedures to aid learning. Purpose: This study compared the effectiveness of video modelling (VM) and virtual reality (VR) for teaching adults with ASD. Methods: Using an alternating treatments design without baseline two participants completed paper folding projects of varying difficulty following exposure to either VM or VR task modelling. The rate of learning (ROL) determined treatment effectiveness. Results: One participant reached mastery criterion for the intermediate project on the 5th trial with both VR and VM (i.e. equal ROL). The other achieved mastery by the 6th trial of VM, but did not attain mastery in VR. Both participants reported enjoying both procedures. Conclusions: The results suggest that VM was more effective than VR in facilitating learning. Implications for future research are discussed.</t>
  </si>
  <si>
    <t>[Fitzgerald, Emily; Yap, Hui Kee; Ashton, Charlotte; Moore, Dennis W.; Furlonger, Brett; Anderson, Angelika; Busacca, Margherita; English, Derek L.] Monash Univ, Fac Educ, Clayton, Vic, Australia; [Kickbush, Richard; Donald, James] MindSight VR, Educ Psychol &amp; Inclus Educ, Melbourne, Vic, Australia</t>
  </si>
  <si>
    <t>Monash University</t>
  </si>
  <si>
    <t>Fitzgerald, E (corresponding author), Monash Univ, 19 Ancora Imparo Way, Clayton, Vic 3800, Australia.</t>
  </si>
  <si>
    <t>esfitz24@gmail.com</t>
  </si>
  <si>
    <t>Anderson, Angelika/AAU-2419-2021</t>
  </si>
  <si>
    <t>Fitzgerald, Emily S/0000-0002-4353-5852; Moore, Dennis/0000-0002-8319-4976; Anderson, Angelika/0000-0003-1156-4066</t>
  </si>
  <si>
    <t>10.1080/17518423.2018.1432713</t>
  </si>
  <si>
    <t>FZ0PW</t>
  </si>
  <si>
    <t>WOS:000427274000006</t>
  </si>
  <si>
    <t>Carnett, A; Neely, L; Gardiner, S; Kirkpatrick, M; Quarles, J; Christopher, K</t>
  </si>
  <si>
    <t>Carnett, Amarie; Neely, Leslie; Gardiner, Siobhan; Kirkpatrick, Marie; Quarles, John; Christopher, Kameron</t>
  </si>
  <si>
    <t>Systematic Review of Virtual Reality in Behavioral Interventions for Individuals with Autism</t>
  </si>
  <si>
    <t>ADVANCES IN NEURODEVELOPMENTAL DISORDERS</t>
  </si>
  <si>
    <t>Virtual reality; Technology; Behavior analysis; Systematic review; Quality review</t>
  </si>
  <si>
    <t>SELF-MONITORING APPLICATION; SPECTRUM DISORDER; CHILDREN; ENVIRONMENTS; STUDENTS; SKILLS; TECHNOLOGY; IMPROVE; ADULTS; DISABILITIES</t>
  </si>
  <si>
    <t>Objectives Virtual reality technology is able to simulate real life environments and has been used to facilitate behavioral interventions for people with autism. This systematic review aims to evaluate the role of virtual reality (VR) technology in the context of behavioral interventions designed to increase behaviors that support more independent functioning (e.g., teach vocational skills, adaptive behavior) or decrease challenging behaviors that interfere with daily functioning for individuals with autism. Methods We conducted a systematic search in four databases followed by a reference search for those articles identified by the systematic database search. We also conducted a quality review using the evaluative method for evaluating and determining evidence-based practices in autism. Results We identified 23 studies with a majority of the studies (n = 18; 75%) utilizing group experimental or quasi-experiment research design and the remaining (n = 5; 21.74%) utilizing single-case research design. Of those studies, targeted behavior includes vocational skills (n = 10), safety skills (n = 4), functional behaviors (n = 2), and challenging behavior (n = 7). Of the 23 studies, 11 met the quality criteria to be classified as strong or adequate and can offer evidence on the integration of VR technology into behavioral interventions. Conclusions The use of VR to provide behavioral interventions to teach driving skills and to teach interview skills can be considered an evidence-based practice.</t>
  </si>
  <si>
    <t>[Carnett, Amarie; Gardiner, Siobhan] Victoria Univ Wellington, Fac Educ, Educ Psychol, POB 600, Wellington 6140, New Zealand; [Neely, Leslie; Kirkpatrick, Marie] Univ Texas San Antonio, Dept Educ Psychol, San Antonio, TX USA; [Neely, Leslie; Kirkpatrick, Marie] Univ Texas San Antonio, Child &amp; Adolescent Policy &amp; Res Inst, San Antonio, TX USA; [Quarles, John] Univ Texas San Antonio, Dept Comp Sci, San Antonio, TX USA; [Christopher, Kameron] Natl Inst Water &amp; Atmosphere NIWA, Auckland, New Zealand</t>
  </si>
  <si>
    <t>Victoria University Wellington; University of Texas System; University of Texas at San Antonio (UTSA); University of Texas System; University of Texas at San Antonio (UTSA); University of Texas System; University of Texas at San Antonio (UTSA); National Institute of Water &amp; Atmospheric Research (NIWA) - New Zealand</t>
  </si>
  <si>
    <t>Carnett, A (corresponding author), Victoria Univ Wellington, Fac Educ, Educ Psychol, POB 600, Wellington 6140, New Zealand.</t>
  </si>
  <si>
    <t>amarie.carnett@vuw.ac.nz</t>
  </si>
  <si>
    <t>Carnett, Amarie/0000-0002-0494-3941; Kirkpatrick, Marie/0000-0002-6253-0504; Gardiner, Siobhan/0009-0004-3017-907X</t>
  </si>
  <si>
    <t>CAUL</t>
  </si>
  <si>
    <t>Open Access funding enabled and organized by CAUL and its Member Institutions</t>
  </si>
  <si>
    <t>SPRINGERNATURE</t>
  </si>
  <si>
    <t>CAMPUS, 4 CRINAN ST, LONDON, N1 9XW, ENGLAND</t>
  </si>
  <si>
    <t>2366-7532</t>
  </si>
  <si>
    <t>2366-7540</t>
  </si>
  <si>
    <t>ADV NEURODEV DISORD</t>
  </si>
  <si>
    <t>Adv. Neurodev. Disord.</t>
  </si>
  <si>
    <t>10.1007/s41252-022-00287-1</t>
  </si>
  <si>
    <t>SEP 2022</t>
  </si>
  <si>
    <t>P1TW4</t>
  </si>
  <si>
    <t>WOS:000863135800002</t>
  </si>
  <si>
    <t>Glaser, N; Schmidt, M; Schmidt, C</t>
  </si>
  <si>
    <t>Glaser, Noah; Schmidt, Matthew; Schmidt, Carla</t>
  </si>
  <si>
    <t>Learner experience and evidence of cybersickness: design tensions in a virtual reality public transportation intervention for autistic adults</t>
  </si>
  <si>
    <t>VIRTUAL REALITY</t>
  </si>
  <si>
    <t>Autism spectrum disorder; Cybersickness; Virtual reality; Oculus rift; Accessibility</t>
  </si>
  <si>
    <t>TECHNOLOGY-BASED INTERVENTIONS; SPECTRUM DISORDER; SOCIAL-SKILLS; SIMULATOR SICKNESS; ASPERGER-SYNDROME; CHILDREN; QUESTIONNAIRE; ENVIRONMENTS; INDIVIDUALS; ADOLESCENTS</t>
  </si>
  <si>
    <t>People with autism spectrum disorders (ASD) exhibit a range of socio-communicative and behavioral deficits which leads to difficulties holding meaningful relationships and vocational opportunities. Unfortunately, it is oftentimes difficult for this population to transfer learned skills from controlled intervention contexts into the real-world. As a result, interest in using virtual reality (VR) to create naturalistic training contexts has grown. Research has provided evidence to support the benefits of using VR-based training for people with ASD. However, the emergence of commercially available head-mounted displays (HMD), and their association with cybersickness, has led many to wonder if people with ASD would continue to find VR as being acceptable if they were to be immersed within these devices. Further, people with ASD often have sensory integration disorders making the continued use of VR a potential ethical concern. This research examined the extent that adults with ASD from a day program felt symptoms of cybersickness while undergoing sessions of a VR-training program. The nature of learner experiences while using HMD were also explored. Research questions were addressed through multi-method procedures that utilized quantitative and qualitative data. Despite the presence of some cybersickness symptoms, participants found the experiences to be positive and acceptable.</t>
  </si>
  <si>
    <t>[Glaser, Noah] Univ Missouri, Sch Informat Sci &amp; Learning Technol, Columbia, MO USA; [Schmidt, Matthew; Schmidt, Carla] Univ Florida, Sch Teaching &amp; Learning, Gainesville, FL USA</t>
  </si>
  <si>
    <t>University of Missouri System; University of Missouri Columbia; State University System of Florida; University of Florida</t>
  </si>
  <si>
    <t>Glaser, N (corresponding author), Univ Missouri, Sch Informat Sci &amp; Learning Technol, Columbia, MO USA.</t>
  </si>
  <si>
    <t>noah.glaser@missouri.edu</t>
  </si>
  <si>
    <t>SPRINGER LONDON LTD</t>
  </si>
  <si>
    <t>236 GRAYS INN RD, 6TH FLOOR, LONDON WC1X 8HL, ENGLAND</t>
  </si>
  <si>
    <t>1359-4338</t>
  </si>
  <si>
    <t>1434-9957</t>
  </si>
  <si>
    <t>VIRTUAL REAL-LONDON</t>
  </si>
  <si>
    <t>Virtual Real.</t>
  </si>
  <si>
    <t>10.1007/s10055-022-00661-3</t>
  </si>
  <si>
    <t>JUN 2022</t>
  </si>
  <si>
    <t>Computer Science, Interdisciplinary Applications; Computer Science, Software Engineering; Imaging Science &amp; Photographic Technology</t>
  </si>
  <si>
    <t>Computer Science; Imaging Science &amp; Photographic Technology</t>
  </si>
  <si>
    <t>5Q4XQ</t>
  </si>
  <si>
    <t>WOS:000806688600001</t>
  </si>
  <si>
    <t>Pagano, S; Lombardo, G; Coniglio, M; Donnari, S; Canonico, V; Antonini, C; Lomurno, G; Cianetti, S</t>
  </si>
  <si>
    <t>Pagano, S.; Lombardo, G.; Coniglio, M.; Donnari, S.; Canonico, V; Antonini, C.; Lomurno, G.; Cianetti, S.</t>
  </si>
  <si>
    <t>Autism spectrum disorder and paediatric dentistry: A narrative overview of intervention strategy and introduction of an innovative technological intervention method</t>
  </si>
  <si>
    <t>EUROPEAN JOURNAL OF PAEDIATRIC DENTISTRY</t>
  </si>
  <si>
    <t>Autism Spectrum Disorder; Paediatric dentistry; Operative dentistry; Dental treatment; Oral health</t>
  </si>
  <si>
    <t>DENTAL-CARE; ORAL CARE; CHILDREN; MANAGEMENT; DIAGNOSIS</t>
  </si>
  <si>
    <t>Aim When treating patients with Autism Spectrum Disorder (ASD) the doctor-patient relationship can be very challenging. The dentist is often forced to work under general anaesthesia or conscious sedation. Children with ASD are patients with an increased risk of caries due to poor oral hygiene, a cariogenic diet and the use of xerostomal drugs. In this work therapeutic strategies used to treat this kind of patients are evaluated and a new method to treat children with ASD is presented in order to increase awareness about this condition in the dental field. Methods The Atlas Center (a non-profit organisation in Peurgia, Italy) has developed a software, called paINTeraction, that allows these special children to immerse themselves in a virtual reality with the help of an operator. Through this system the child can explore the dental office (and all its sounds and noises) before the real dental visit, thus connecting to the dental professional, achieving greater compliance and reducing anxiety. Results The literature shows that performing treatments on ASD patients is complex due to their insufficient cooperation, communication and behavioural difficulties, and hypersensitivity to sensory stimuli. Conclusions paINTeraction, with the use of digital technology tools, may be particularly well suited to introduce patients to the therapeutic environment, particularly in the dental setting.</t>
  </si>
  <si>
    <t>[Pagano, S.; Lombardo, G.; Coniglio, M.; Antonini, C.; Cianetti, S.] Univ Perugia, Odontostomatol Univ Ctr COU, Dept Med &amp; Surg, Perugia, Italy; [Donnari, S.; Canonico, V] Atlas Ctr, Perugia, Italy; [Lomurno, G.] Univ Perugia, S Maria Misericordia Hosp, Dept Med &amp; Surg, Perugia, Italy</t>
  </si>
  <si>
    <t>University of Perugia; University of Perugia</t>
  </si>
  <si>
    <t>Pagano, S (corresponding author), Univ Perugia, Odontostomatol Univ Ctr COU, Dept Med &amp; Surg, Perugia, Italy.</t>
  </si>
  <si>
    <t>conigliomaddalena@gmail.com</t>
  </si>
  <si>
    <t>ARIESDUE SRL</t>
  </si>
  <si>
    <t>CARIMATE</t>
  </si>
  <si>
    <t>VIA AIROLDI, CARIMATE, 11-22060, ITALY</t>
  </si>
  <si>
    <t>1591-996X</t>
  </si>
  <si>
    <t>2035-648X</t>
  </si>
  <si>
    <t>EUR J PAEDIATR DENT</t>
  </si>
  <si>
    <t>Eur. J. Paediatr. Dent.</t>
  </si>
  <si>
    <t>10.23804/ejpd.2022.23.01.10</t>
  </si>
  <si>
    <t>Dentistry, Oral Surgery &amp; Medicine; Pediatrics</t>
  </si>
  <si>
    <t>ZS9RT</t>
  </si>
  <si>
    <t>WOS:000768796100010</t>
  </si>
  <si>
    <t>Boo, C; Alpers-Leon, N; McIntyre, N; Mundy, P; Naigles, L</t>
  </si>
  <si>
    <t>Boo, Cynthia; Alpers-Leon, Nora; McIntyre, Nancy; Mundy, Peter; Naigles, Letitia</t>
  </si>
  <si>
    <t>Conversation During a Virtual Reality Task Reveals New Structural Language Profiles of Children with ASD, ADHD, and Comorbid Symptoms of Both</t>
  </si>
  <si>
    <t>Autism spectrum disorder; Attention deficit; hyperactivity disorder; Comorbidity; Conversational context; Virtual reality paradigm</t>
  </si>
  <si>
    <t>AUTISM SPECTRUM DISORDER; HIGH-FUNCTIONING CHILDREN; READING-COMPREHENSION; NARRATIVE ABILITY; INDIVIDUALS; ATTENTION; COHERENCE; SKILLS; BOYS; SLI</t>
  </si>
  <si>
    <t>Many studies have utilized standardized measures and storybook narratives to characterize language profiles of children with Autism Spectrum Disorder (ASD) and Attention Deficit/Hyperactivity Disorder (ADHD). They report that structural language of these children is on par with mental-age-matched typically developing (TD) peers. Few studies have looked at structural language profiles in conversational contexts. This study examines conversational speech produced in a virtual reality (VR) paradigm to investigate the strengths and weaknesses of structural language abilities of these children. The VR paradigm introduced varying social and cognitive demands across phases. Our results indicate that children from these diagnostic groups produced less complex structural language than TD children. Moreover, language complexity decreased in all groups across phases, suggesting a cross-etiology sensitivity to conversational contexts.</t>
  </si>
  <si>
    <t>[Boo, Cynthia; Alpers-Leon, Nora; Naigles, Letitia] Univ Connecticut, Dept Psychol Sci, 406 Babbidge Rd,Unit 1020, Storrs, CT 06269 USA; [McIntyre, Nancy] Univ Cent Florida, Sch Commun Sci &amp; Disorders, 12805 Pegasus Dr, Orlando, FL 32816 USA; [Mundy, Peter] Univ Calif Davis, Sch Educ, One Shields Ave, Davis, CA 95616 USA; [Mundy, Peter] Univ Calif Davis, Dept Psychiat &amp; Behav Sci, MIND Inst, Imaging Res Ctr, 2825 50th St, Sacramento, CA 95817 USA</t>
  </si>
  <si>
    <t>University of Connecticut; State University System of Florida; University of Central Florida; University of California System; University of California Davis; University of California System; University of California Davis</t>
  </si>
  <si>
    <t>Boo, C (corresponding author), Univ Connecticut, Dept Psychol Sci, 406 Babbidge Rd,Unit 1020, Storrs, CT 06269 USA.</t>
  </si>
  <si>
    <t>cynthia.boo@uconn.edu</t>
  </si>
  <si>
    <t>Boo, Cynthia/0000-0002-2499-4340</t>
  </si>
  <si>
    <t>National Institute on Deafness and Other Communication Disorders [NIHDCD R01DC016665]; Institute of Education Sciences [IES R324A110174]</t>
  </si>
  <si>
    <t>National Institute on Deafness and Other Communication Disorders(United States Department of Health &amp; Human ServicesNational Institutes of Health (NIH) - USANIH National Institute on Deafness &amp; Other Communication Disorders (NIDCD)); Institute of Education Sciences(US Department of EducationInstitute of Education Sciences (IES))</t>
  </si>
  <si>
    <t>We thank all of the children and their families who participated in this research, as well as the dedicated students who transcribed the audio files. This research was supported by grants from the National Institute on Deafness and Other Communication Disorders (NIHDCD R01DC016665) and the Institute of Education Sciences (IES R324A110174).</t>
  </si>
  <si>
    <t>10.1007/s10803-021-05175-6</t>
  </si>
  <si>
    <t>JUL 2021</t>
  </si>
  <si>
    <t>2H4SC</t>
  </si>
  <si>
    <t>WOS:000671542300002</t>
  </si>
  <si>
    <t>Colombini, G; Duradoni, M; Carpi, F; Vagnoli, L; Guazzini, A</t>
  </si>
  <si>
    <t>Colombini, Giulia; Duradoni, Mirko; Carpi, Federico; Vagnoli, Laura; Guazzini, Andrea</t>
  </si>
  <si>
    <t>LEAP Motion Technology and Psychology: A Mini-Review on Hand Movements Sensing for Neurodevelopmental and Neurocognitive Disorders</t>
  </si>
  <si>
    <t>LEAP Motion; hand movement; virtual reality; neurodevelopmental disorders; neurocognitive disorders; attention-deficit hyperactivity disorder; dementia; mild cognitive impairment</t>
  </si>
  <si>
    <t>AUTISM SPECTRUM DISORDERS; VIRTUAL-REALITY; CHILDREN; KINECT; SYSTEM; REHABILITATION; INSTRUCTION; STUDENTS; SKILLS; CARE</t>
  </si>
  <si>
    <t>Technological advancement is constantly evolving, and it is also developing in the mental health field. Various applications, often based on virtual reality, have been implemented to carry out psychological assessments and interventions, using innovative human-machine interaction systems. In this context, the LEAP Motion sensing technology has raised interest, since it allows for more natural interactions with digital contents, via an optical tracking of hand and finger movements. Recent research has considered LEAP Motion features in virtual-reality-based systems, to meet specific needs of different clinical populations, varying in age and type of disorder. The present paper carried out a systematic mini-review of the available literature using Preferred Reporting Items for Systematic Reviews and Meta-analysis (PRISMA) guidelines. The inclusion criteria were (i) publication date between 2013 and 2020, (ii) being an empirical study or project report, (iii) written in English or Italian languages, (iv) published in a scholarly peer-reviewed journal and/or conference proceedings, and (v) assessing LEAP Motion intervention for four specific psychological domains (i.e., autism spectrum disorder, attention-deficit/hyperactivity disorder, dementia, and mild cognitive impairment), objectively. Nineteen eligible empirical studies were included. Overall, results show that protocols for attention-deficit hyperactivity disorder and autism spectrum disorder can promote psychomotor and psychosocial rehabilitation in contexts that stimulate learning. Moreover, virtual reality and LEAP Motion seem promising for the assessment and screening of functional abilities in dementia and mild cognitive impairment. As evidence is, however, still limited, deeper investigations are needed to assess the full potential of the LEAP Motion technology, possibly extending its applications. This is relevant, considering the role that virtual reality could have in overcoming barriers to access assessment, therapies, and smart monitoring.</t>
  </si>
  <si>
    <t>[Colombini, Giulia; Guazzini, Andrea] Univ Florence, Dept Educ Literatures Intercultural Studies Langu, I-50135 Florence, Italy; [Duradoni, Mirko; Carpi, Federico] Univ Florence, Dept Ind Engn, I-50121 Florence, Italy; [Vagnoli, Laura] Meyer Childrens Hosp, Pediat Psychol, Viale Pieraccini 24, I-50139 Florence, Italy; [Guazzini, Andrea] Univ Florence, Ctr Study Complex Dynam, I-50121 Florence, Italy</t>
  </si>
  <si>
    <t>University of Florence; University of Florence; University of Florence; Azienda Ospedaliera Universitaria (AOU) MEYER; University of Florence</t>
  </si>
  <si>
    <t>Guazzini, A (corresponding author), Univ Florence, Dept Educ Literatures Intercultural Studies Langu, I-50135 Florence, Italy.;Guazzini, A (corresponding author), Univ Florence, Ctr Study Complex Dynam, I-50121 Florence, Italy.</t>
  </si>
  <si>
    <t>giulia.colombini@stud.unifi.it; mirko.duradoni@unifi.it; federico.carpi@unifi.it; laura.vagnoli@meyer.it; andrea.guazzini@unifi.it</t>
  </si>
  <si>
    <t>Duradoni, Mirko/AAF-2854-2019; Guazzini, Andrea/AGX-9933-2022; Carpi, Federico/D-2112-2013</t>
  </si>
  <si>
    <t>Colombini, Giulia/0000-0002-8271-3113; Vagnoli, Laura/0000-0002-0798-479X; Guazzini, Andrea/0000-0002-0203-4461; Carpi, Federico/0000-0001-8496-5085; Duradoni, Mirko/0000-0001-8272-9484</t>
  </si>
  <si>
    <t>10.3390/ijerph18084006</t>
  </si>
  <si>
    <t>RS9KZ</t>
  </si>
  <si>
    <t>WOS:000644091000001</t>
  </si>
  <si>
    <t>Wan, GB; Deng, FH; Jiang, ZJ; Song, SF; Hu, D; Chen, LF; Wang, HB; Li, MC; Chen, G; Yan, T; Su, JL; Zhang, JM</t>
  </si>
  <si>
    <t>Wan, Guobin; Deng, Fuhao; Jiang, Zijian; Song, Sifan; Hu, Di; Chen, Lifu; Wang, Haibo; Li, Miaochun; Chen, Gong; Yan, Ting; Su, Jionglong; Zhang, Jiaming</t>
  </si>
  <si>
    <t>FECTS: A Facial Emotion Cognition and Training System for Chinese Children with Autism Spectrum Disorder</t>
  </si>
  <si>
    <t>COMPUTATIONAL INTELLIGENCE AND NEUROSCIENCE</t>
  </si>
  <si>
    <t>Traditional training methods such as card teaching, assistive technologies (e.g., augmented reality/virtual reality games and smartphone apps), DVDs, human-computer interactions, and human-robot interactions are widely applied in autistic rehabilitation training in recent years. In this article, we propose a novel framework for human-computer/robot interaction and introduce a preliminary intervention study for improving the emotion recognition of Chinese children with an autism spectrum disorder. The core of the framework is the Facial Emotion Cognition and Training System (FECTS, including six tasks to train children with ASD to match, infer, and imitate the facial expressions of happiness, sadness, fear, and anger) based on Simon Baron-Cohen's E-S (empathizing-systemizing) theory. Our system may be implemented on PCs, smartphones, mobile devices such as PADs, and robots. The training record (e.g., a tracked record of emotion imitation) of the Chinese autistic children interacting with the device implemented using our FECTS will be uploaded and stored in the database of a cloud-based evaluation system. Therapists and parents can access the analysis of the emotion learning progress of these autistic children using the cloud-based evaluation system. Deep-learning algorithms of facial expressions recognition and attention analysis will be deployed in the back end (e.g., devices such as a PC, a robotic system, or a cloud system) implementing our FECTS, which can perform real-time tracking of the imitation quality and attention of the autistic children during the expression imitation phase. In this preliminary clinical study, a total of 10 Chinese autistic children aged 3-8 are recruited, and each of them received a single 20-minute training session every day for four consecutive days. Our preliminary results validated the feasibility of the developed FECTS and the effectiveness of our algorithms based on Chinese children with an autism spectrum disorder. To verify that our FECTS can be further adapted to children from other countries, children with different cultural/sociological/linguistic contexts should be recruited in future studies.</t>
  </si>
  <si>
    <t>[Wan, Guobin] Shenzhen Maternal &amp; Child Hlth Hosp, Shenzhen 518000, Peoples R China; [Deng, Fuhao; Jiang, Zijian; Zhang, Jiaming] Shenzhen Inst Artificial Intelligence &amp; Robot Soc, Shenzhen 518172, Peoples R China; [Song, Sifan] Xian Jiaotong Liverpool Univ, Dept Math Sci, Suzhou 215123, Peoples R China; [Hu, Di] Univ Maryland, Robert H Smith Sch Business, College Pk, MA USA; [Chen, Lifu] DoGoodly Int Educ Ctr Shenzhen Co Ltd, Shenzhen 518219, Peoples R China; [Chen, Lifu] Smart Children Educ Ctr, Shenzhen 518219, Peoples R China; [Wang, Haibo] China Univ Min &amp; Technol, Sch Informat &amp; Control Engn, Xuzhou 221116, Jiangsu, Peoples R China; [Li, Miaochun] Guangdong Pharmaceut Univ, Dept Informat Management &amp; Informat Syst, Zhongshan 511436, Peoples R China; [Chen, Gong] Sunwoda Elect Co Ltd, Shiyan St, Shenzhen 518000, Guangdong, Peoples R China; [Yan, Ting] Chinese Acad Sci, Brain Cognit &amp; Brain Dis Inst,CAS Key Lab Brain C, Shenzhen Inst Adv Technol,Guangdong Prov Key Lab, Shenzhen Hong Kong Inst Brain Sci,Shenzhen Key La, Shenzhen 518055, Guangdong, Peoples R China; [Su, Jionglong] Xian Jiaotong Liverpool Univ, XJTLU Entrepreneur Coll Taicang, Sch AI &amp; Adv Comp, Suzhou 215123, Jiangsu, Peoples R China; [Zhang, Jiaming] Chinese Univ Hong Kong Shenzhen, Inst Robot &amp; Intelligent Mfg, Shenzhen 518172, Peoples R China</t>
  </si>
  <si>
    <t>Shenzhen Institute of Artificial Intelligence &amp; Robotics for Society; Xi'an Jiaotong-Liverpool University; University System of Maryland; University of Maryland College Park; China University of Mining &amp; Technology; Guangdong Pharmaceutical University; Chinese Academy of Sciences; Shenzhen Institute of Advanced Technology, CAS; Xi'an Jiaotong-Liverpool University; The Chinese University of Hong Kong, Shenzhen</t>
  </si>
  <si>
    <t>Zhang, JM (corresponding author), Shenzhen Inst Artificial Intelligence &amp; Robot Soc, Shenzhen 518172, Peoples R China.;Yan, T (corresponding author), Chinese Acad Sci, Brain Cognit &amp; Brain Dis Inst,CAS Key Lab Brain C, Shenzhen Inst Adv Technol,Guangdong Prov Key Lab, Shenzhen Hong Kong Inst Brain Sci,Shenzhen Key La, Shenzhen 518055, Guangdong, Peoples R China.;Su, JL (corresponding author), Xian Jiaotong Liverpool Univ, XJTLU Entrepreneur Coll Taicang, Sch AI &amp; Adv Comp, Suzhou 215123, Jiangsu, Peoples R China.;Zhang, JM (corresponding author), Chinese Univ Hong Kong Shenzhen, Inst Robot &amp; Intelligent Mfg, Shenzhen 518172, Peoples R China.</t>
  </si>
  <si>
    <t>ting.yan@siat.ac.cn; jionglong.su@xjtlu.edu.cn; zhangjiaming@cuhk.edu.cn</t>
  </si>
  <si>
    <t>Chen, Lifu/LWJ-1890-2024</t>
  </si>
  <si>
    <t>Yan, Ting/0000-0003-1182-9079; Chen, Gong/0000-0002-2042-1801; Li, Miaochun/0000-0001-5604-7738; Jiang, Zijian/0000-0002-0537-8817; Song, Sifan/0000-0002-7940-650X; Hu, Di/0000-0002-2842-1478</t>
  </si>
  <si>
    <t>Shenzhen Science and Technology Innovation Commission [JCYJ20180508152240368]; National Natural Science Foundation of China [31800900]; Key Realm R&amp;D Program of Guangdong Province [2019B030335001]; Sanming Project of Medicine in Shenzhen [SZSM201512009]; Open Program of Neusoft Corporation [SKLSAOP1702]</t>
  </si>
  <si>
    <t>Shenzhen Science and Technology Innovation Commission; National Natural Science Foundation of China(National Natural Science Foundation of China (NSFC)); Key Realm R&amp;D Program of Guangdong Province; Sanming Project of Medicine in Shenzhen; Open Program of Neusoft Corporation</t>
  </si>
  <si>
    <t>THe authors would like to thank Dr. Guobin Wan and his colleagues in Shenzhen Maternal and Child Health Hospital and Mr. Lifu Chen and his colleagues in DoGoodly International Education Center (Shenzhen) Co. Ltd., and Smart Children Education Center (Shenzhen), for giving many constructive suggestions in designing the Facial Emotion Cognition and Training System. 1is work was supported by the Shenzhen Science and Technology Innovation Commission (Grant no. JCYJ20180508152240368). 1is work was also supported by the National Natural Science Foundation of China (Grant no. 31800900), the Key Realm R&amp;D Program of Guangdong Province (2019B030335001), the Sanming Project of Medicine in Shenzhen (SZSM201512009), and the Open Program of Neusoft Corporation (item number SKLSAOP1702).</t>
  </si>
  <si>
    <t>1687-5265</t>
  </si>
  <si>
    <t>1687-5273</t>
  </si>
  <si>
    <t>COMPUT INTEL NEUROSC</t>
  </si>
  <si>
    <t>Comput. Intell. Neurosci.</t>
  </si>
  <si>
    <t>APR 27</t>
  </si>
  <si>
    <t>10.1155/2022/9213526</t>
  </si>
  <si>
    <t>Mathematical &amp; Computational Biology; Neurosciences</t>
  </si>
  <si>
    <t>Mathematical &amp; Computational Biology; Neurosciences &amp; Neurology</t>
  </si>
  <si>
    <t>2S1VE</t>
  </si>
  <si>
    <t>WOS:000821586800009</t>
  </si>
  <si>
    <t>Iosa, M; Verrelli, CM; Gentile, AE; Ruggieri, M; Polizzi, A</t>
  </si>
  <si>
    <t>Iosa, Marco; Verrelli, Cristiano Maria; Gentile, Amalia Egle; Ruggieri, Martino; Polizzi, Agata</t>
  </si>
  <si>
    <t>Gaming Technology for Pediatric Neurorehabilitation: A Systematic Review</t>
  </si>
  <si>
    <t>FRONTIERS IN PEDIATRICS</t>
  </si>
  <si>
    <t>children; adolescents; neurorehabilitation; videogames; virtual reality; exergaming</t>
  </si>
  <si>
    <t>VIRTUAL-REALITY REHABILITATION; CEREBRAL-PALSY; POSTURAL CONTROL; CHILDREN; GAME; THERAPY; BALANCE; PEOPLE; PLAY</t>
  </si>
  <si>
    <t>IntroductionThe emergence of gaming technologies, such as videogames and virtual reality, provides a wide variety of possibilities in intensively and enjoyably performing rehabilitation for children with neurological disorders. Solid evidence-based results are however required to promote the use of different gaming technologies in pediatric neurorehabilitation, while simultaneously exploring new related directions concerning neuro-monitoring and rehabilitation in familiar settings. Aim of the Study and MethodsIn order to analyze the state of the art regarding the available gaming technologies for pediatric neurorehabilitation, Scopus and Pubmed Databases have been searched by following: PRISMA statements, PICOs classification, and PEDro scoring. Results43 studies have been collected and classified as follows: 11 feasibility studies; six studies proposing home-system solutions; nine studies presenting gamified robotic devices; nine longitudinal intervention trials; and eight reviews. Most of them rely on feasibility or pilot trials characterized by small sample sizes and short durations; different methodologies, outcome assessments and terminologies are involved; the explored spectrum of neurological conditions turns out to be scanty, mainly including the most common and wider debilitating groups of conditions in pediatric neurology: cerebral palsy, brain injuries and autism. ConclusionEven though it highlights reduced possibilities of drawing evidence-based conclusions due to the above outlined biases, this systematic review raises awareness among pediatricians and other health professionals about gaming technologies. Such a review also points out a definite need of rigorous studies that clearly refer to the underlying neuroscientific principles.</t>
  </si>
  <si>
    <t>[Iosa, Marco] Sapienza Univ Rome, Dept Psychol, Rome, Italy; [Iosa, Marco] Santa Lucia Fdn, Sci Inst Res Hospitalizat &amp; Healthcare IRCCS, Rome, Italy; [Verrelli, Cristiano Maria] Univ Roma Tor Vergata, Elect Engn Dept, Rome, Italy; [Gentile, Amalia Egle] Ist Super San, Natl Ctr Rare Dis, Rome, Italy; [Ruggieri, Martino] Univ Catania, Unit Rare Dis Nervous Syst Childhood, Dept Clin &amp; Expt Med, Catania, Italy; [Polizzi, Agata] Univ Catania, Dept Educ Sci, Chair Pediat, Catania, Italy</t>
  </si>
  <si>
    <t>Sapienza University Rome; IRCCS Santa Lucia; University of Rome Tor Vergata; University of Catania; University of Catania</t>
  </si>
  <si>
    <t>Iosa, M (corresponding author), Sapienza Univ Rome, Dept Psychol, Rome, Italy.;Iosa, M (corresponding author), Santa Lucia Fdn, Sci Inst Res Hospitalizat &amp; Healthcare IRCCS, Rome, Italy.</t>
  </si>
  <si>
    <t>marco.iosa@uniroma1.it</t>
  </si>
  <si>
    <t>Gentile, Amalia Egle/A-6652-2015; Verrelli, Cristiano/X-8077-2019; Iosa, Marco/AAC-1693-2022</t>
  </si>
  <si>
    <t>University of Catania</t>
  </si>
  <si>
    <t>This study was supported by the University of Catania University Research Funds -Research Plan 2016/2018.</t>
  </si>
  <si>
    <t>2296-2360</t>
  </si>
  <si>
    <t>FRONT PEDIATR</t>
  </si>
  <si>
    <t>Front. Pediatr.</t>
  </si>
  <si>
    <t>JAN 28</t>
  </si>
  <si>
    <t>10.3389/fped.2022.775356</t>
  </si>
  <si>
    <t>ZH0BI</t>
  </si>
  <si>
    <t>WOS:000760614000001</t>
  </si>
  <si>
    <t>Banire, B; Al Thani, D; Qaraqe, M; Mansoor, B; Makki, M</t>
  </si>
  <si>
    <t>Banire, Bilikis; Al Thani, Dena; Qaraqe, Marwa; Mansoor, Bilal; Makki, Mustapha</t>
  </si>
  <si>
    <t>Impact of mainstream classroom setting on attention of children with autism spectrum disorder: an eye-tracking study</t>
  </si>
  <si>
    <t>Autism spectrum disorder; Attention assessment; Eye tracking; Virtual classroom; Mainstream school</t>
  </si>
  <si>
    <t>VIRTUAL-REALITY; FUNCTIONING CHILDREN; YOUNG-CHILDREN; ADOLESCENTS; STUDENTS; INTERVENTIONS; OUTCOMES; ADULTS; SKILLS; TASK</t>
  </si>
  <si>
    <t>It has long been reported that children with autism spectrum disorder (ASD) exhibit attention difficulties while learning. They tend to focus on irrelevant information and can easily be distracted. As a result, they are often confined to a one-to-one teaching environment, with fewer distractions and social interactions than would be present in a mainstream educational setting. In recent years, inclusive mainstream schools have been growing in popularity due to government policies on equality rights. Therefore, it is crucial to investigate attentional patterns of children with ASD in mainstream schools. This study aims to explore the attentional behaviors of children with ASD in a virtual reality simulated classroom. We analyzed four eye-gaze behaviors and performance scores of 45 children: children with ASD (ASDn = 20) and typically developing children (TDn = 25) when performing attention tasks. The gaze behaviors included time to first fixate (TTFF), first fixation duration (FFD), average fixation duration (AFD) and the sum of fixation count (SFC) on fourteen areas of interest (AOIs) in the classroom. Our results showed that children with ASD exhibit similar gaze behaviors to TD children, but with significantly lower performance scores and SFC on the target AOI. These findings showed that classroom settings can influence attentional patterns and the academic performance of children with ASD. Further studies are needed on different modalities for supporting the attention of children with ASD in a mainstream setting.</t>
  </si>
  <si>
    <t>[Banire, Bilikis; Al Thani, Dena; Qaraqe, Marwa] Hamad Bin Khalifa Univ, Informat &amp; Comp Technol Div, Ar Rayyan, Qatar; [Mansoor, Bilal; Makki, Mustapha] Texas A&amp;M Univ Doha, Mech Engn Program, Doha, Qatar</t>
  </si>
  <si>
    <t>Qatar Foundation (QF); Hamad Bin Khalifa University-Qatar; Qatar Foundation (QF); Texas A&amp;M University Qatar</t>
  </si>
  <si>
    <t>Banire, B (corresponding author), Hamad Bin Khalifa Univ, Informat &amp; Comp Technol Div, Ar Rayyan, Qatar.</t>
  </si>
  <si>
    <t>banire.bilikiso@gmail.com</t>
  </si>
  <si>
    <t>Mansoor, Bilal/IZP-9328-2023</t>
  </si>
  <si>
    <t>Qaraqe, Marwa/0000-0003-0767-2478; Al-Thani, Dena/0000-0002-1474-2692; Makki, Mustapha/0000-0001-6504-4635</t>
  </si>
  <si>
    <t>Qatar National Library</t>
  </si>
  <si>
    <t>Qatar National Library(Qatar National Research Fund (QNRF))</t>
  </si>
  <si>
    <t>Open Access funding provided by the Qatar National Library.</t>
  </si>
  <si>
    <t>10.1007/s10209-020-00749-0</t>
  </si>
  <si>
    <t>WP0OF</t>
  </si>
  <si>
    <t>WOS:000552617900001</t>
  </si>
  <si>
    <t>Nuguri, SS; Calyam, P; Oruche, R; Gulhane, A; Valluripally, S; Stichter, J; He, Z</t>
  </si>
  <si>
    <t>Nuguri, Sai Shreya; Calyam, Prasad; Oruche, Roland; Gulhane, Aniket; Valluripally, Samaikya; Stichter, Janine; He, Zhihai</t>
  </si>
  <si>
    <t>vSocial: a cloud-based system for social virtual reality learning environment applications in special education</t>
  </si>
  <si>
    <t>MULTIMEDIA TOOLS AND APPLICATIONS</t>
  </si>
  <si>
    <t>Intelligent network services; Social virtual reality; Learning environments; Special education; Web applications</t>
  </si>
  <si>
    <t>ADOLESCENTS; ADULTS</t>
  </si>
  <si>
    <t>Virtual Learning Environments (VLEs) are spaces designed to educate student groups remotely via online platforms. Although traditional VLEs have shown promise in educating students, they offer limited immersion that overall diminishes learning effectiveness. In this paper, we describe vSocial, a cloud-based virtual reality learning environment (VRLE) system that can be deployed over high-speed networks using the High Fidelity social VR platform. vSocial provides flexible control of group learning content and compliance with established VLE standards with improved immersive user experience for both instructor(s) and students. For our vSocial development, we build upon the use case of an existing special education VLE viz., iSocial that trains youth with Autism Spectrum Disorder by implementing the Social Competence Intervention (SCI) curriculum. The vSocial can be used to: (a) implement multiple learning modules using wearable VR technologies, (b) integrate cognitive state sensing devices, and (c) organize learning session data securely using web applications hosted on cloud resources. Our experiment results show that the VR mode of content delivery in vSocial better stimulates the generalization of lessons to the real world than non-VR lessons, and provides improved immersion when compared to an equivalent desktop version. Further, usability study results show that users can successfully use the web application features in vSocial for group learning activities with ease-of-use and consistency.</t>
  </si>
  <si>
    <t>[Nuguri, Sai Shreya; Valluripally, Samaikya; He, Zhihai] Univ Missouri, Columbia, MO USA; [Calyam, Prasad] Univ Missouri, Dept Comp Sci, Columbia, MO 65211 USA; [Oruche, Roland; Gulhane, Aniket] Univ Missouri, Comp Sci, Columbia, MO USA; [Stichter, Janine] Univ Missouri, Dept Special Educ, Columbia, MO USA</t>
  </si>
  <si>
    <t>University of Missouri System; University of Missouri Columbia; University of Missouri System; University of Missouri Columbia; University of Missouri System; University of Missouri Columbia; University of Missouri System; University of Missouri Columbia</t>
  </si>
  <si>
    <t>Calyam, P (corresponding author), Univ Missouri, Dept Comp Sci, Columbia, MO 65211 USA.</t>
  </si>
  <si>
    <t>calyamp@missouri.edu</t>
  </si>
  <si>
    <t>VALLURIPALLY, SAMAIKYA/AAL-9264-2020</t>
  </si>
  <si>
    <t>Nuguri, Sai Shreya/0009-0008-8723-100X</t>
  </si>
  <si>
    <t>National Science Foundation [CNS-1647213, CNS-1659134]</t>
  </si>
  <si>
    <t>This material is based upon work supported by the National Science Foundation under Award Numbers: CNS-1647213 and CNS-1659134. Any opinions, findings, and conclusions or recommendations expressed in this publication are those of the authors and do not necessarily reflect the views of the National Science Foundation.</t>
  </si>
  <si>
    <t>1380-7501</t>
  </si>
  <si>
    <t>1573-7721</t>
  </si>
  <si>
    <t>MULTIMED TOOLS APPL</t>
  </si>
  <si>
    <t>Multimed. Tools Appl.</t>
  </si>
  <si>
    <t>10.1007/s11042-020-09051-w</t>
  </si>
  <si>
    <t>Computer Science, Information Systems; Computer Science, Software Engineering; Computer Science, Theory &amp; Methods; Engineering, Electrical &amp; Electronic</t>
  </si>
  <si>
    <t>SE7XP</t>
  </si>
  <si>
    <t>WOS:000537042100002</t>
  </si>
  <si>
    <t>Hu, XY; Han, ZR</t>
  </si>
  <si>
    <t>Hu, Xiaoyi; Han, Zhuo Rachel</t>
  </si>
  <si>
    <t>Effects of gesture-based match-to-sample instruction via virtual reality technology for Chinese students with autism spectrum disorders</t>
  </si>
  <si>
    <t>computer-assisted instruction; virtual reality technology; gesture-based; match-to-sample; China; autism spectrum disorders</t>
  </si>
  <si>
    <t>CHILDREN</t>
  </si>
  <si>
    <t>Effective strategies to address academic performance are critical to students with disabilities in inclusive settings. The purpose of this study was to investigate the effectiveness of using gesture-based instruction via Leap Motion-aided virtual reality (VR) technology to teach matching skills to school-aged students with autism spectrum disorder (ASD) in China. Three participants with ASD from general education schools participated in this study. A multiple probe design across participants was used. The results indicated that all participants acquired the target match-to-sample skills and maintained the acquired skills at a high level for up to 12 weeks. Results of this study provide important implications to special education and general education teachers working with students with ASD.</t>
  </si>
  <si>
    <t>[Hu, Xiaoyi] Beijing Normal Univ, Fac Educ, Dept Special Educ, Beijing, Peoples R China; [Han, Zhuo Rachel] Beijing Normal Univ, Fac Psychol, Beijing, Peoples R China</t>
  </si>
  <si>
    <t>Beijing Normal University; Beijing Normal University</t>
  </si>
  <si>
    <t>Han, ZR (corresponding author), Beijing Normal Univ, Fac Psychol, Beijing, Peoples R China.</t>
  </si>
  <si>
    <t>rachhan@bnu.edu.cn</t>
  </si>
  <si>
    <t>Hu, Xiaoyi/AEN-3558-2022</t>
  </si>
  <si>
    <t>Hu, Xiaoyi/0000-0002-6936-4799</t>
  </si>
  <si>
    <t>OCT 20</t>
  </si>
  <si>
    <t>10.1080/20473869.2019.1602350</t>
  </si>
  <si>
    <t>JE0TI</t>
  </si>
  <si>
    <t>WOS:000490406700003</t>
  </si>
  <si>
    <t>Ke, FF; Im, T; Xue, XR; Xu, XH; Kim, NJ; Lee, SW</t>
  </si>
  <si>
    <t>Ke, Fengfeng; Im, Tami; Xue, Xinrong; Xu, Xinhao; Kim, Namju; Lee, Sungwoong</t>
  </si>
  <si>
    <t>Experience of Adult Facilitators in a Virtual-Reality-Based Social Interaction Program for Children With Autism</t>
  </si>
  <si>
    <t>JOURNAL OF SPECIAL EDUCATION</t>
  </si>
  <si>
    <t>social interaction training; autism; virtual reality; special education needs</t>
  </si>
  <si>
    <t>SPECTRUM DISORDERS; SKILLS; INTERVENTION; ADOLESCENTS; EDUCATION; ENVIRONMENTS; STUDENTS; PEOPLE; PEERS</t>
  </si>
  <si>
    <t>This phenomenological study explored and described the experiences and perceptions of adult facilitators who facilitated virtual-reality-based social interaction for children with autism. Extensive data were collected from iterative, in-depth interviews; online activities observation; and video analysis. Four salient themes emerged through the process of data generation, analysis, and comparison of participants: heterogeneity in group-based facilitation, coexistence of virtual and physical interaction spaces, sparkle and out-of-track moments, and pretraining for individualized facilitation. The findings should enrich the research area of technology-enhanced special education by delineating the dynamic processes and patterns of facilitating Internet-based social interactions for children with special needs.</t>
  </si>
  <si>
    <t>[Ke, Fengfeng; Im, Tami; Xue, Xinrong; Xu, Xinhao; Lee, Sungwoong] Florida State Univ, Tallahassee, FL 32306 USA; [Kim, Namju] Utah State Univ, Logan, UT 84322 USA</t>
  </si>
  <si>
    <t>State University System of Florida; Florida State University; Utah System of Higher Education; Utah State University</t>
  </si>
  <si>
    <t>Ke, FF (corresponding author), Florida State Univ, 1114 W Call St, Tallahassee, FL 32306 USA.</t>
  </si>
  <si>
    <t>Kim, Nam/ABE-6056-2022; Im, Tami/HPD-6713-2023; Xu, Xinhao/L-2992-2019</t>
  </si>
  <si>
    <t>Ke, Fengfeng/0000-0003-4203-1203; Xu, Xinhao/0000-0002-4981-4641; Kim, Nam Ju/0000-0001-6288-3732; Im, Tami/0000-0002-5139-5159</t>
  </si>
  <si>
    <t>0022-4669</t>
  </si>
  <si>
    <t>1538-4764</t>
  </si>
  <si>
    <t>J SPEC EDUC</t>
  </si>
  <si>
    <t>J. Spec. Educ.</t>
  </si>
  <si>
    <t>10.1177/0022466913498773</t>
  </si>
  <si>
    <t>AX3EG</t>
  </si>
  <si>
    <t>WOS:000346822600006</t>
  </si>
  <si>
    <t>Glaser, N; Newbutt, N; Palmer, H; Schmidt, M</t>
  </si>
  <si>
    <t>Glaser, Noah; Newbutt, Nigel; Palmer, Heath; Schmidt, Matthew</t>
  </si>
  <si>
    <t>Video-Based Virtual Reality Technology for Autistic Users: An Emerging Technology Report</t>
  </si>
  <si>
    <t>TECHNOLOGY KNOWLEDGE AND LEARNING</t>
  </si>
  <si>
    <t>Spherical video-based virtual reality; Autism; Virtual reality; 360 video; Virtual reality; Mobile virtual reality</t>
  </si>
  <si>
    <t>SOCIAL-SKILLS; SPECTRUM DISORDER; CHILDREN; INTERVENTIONS; ENVIRONMENTS</t>
  </si>
  <si>
    <t>Research suggests that virtual reality (VR) technologies can promote learning opportunities for individuals with autism in safe and controllable training scenarios. However, substantial challenges exist concerning the development and deployment of fully immersive VR systems in real-world settings. Video-based virtual reality is an emerging technology that maintains many of the same potential learning benefits to traditional VR systems while being easier to develop and deploy. This emerging technology report explores the use and potential of video-based virtual reality to support autistic users within naturalistic settings. Current trends in the field are reported, along with a focus on the application of evidence-based practices that align with this learner population. Finally, challenges with adoption and implementation are considered in addition to implications for future research.</t>
  </si>
  <si>
    <t>[Glaser, Noah] Univ Missouri, Sch Informat Sci &amp; Learning Technol, Townsend Hall, Columbia, MO 65211 USA; [Newbutt, Nigel; Schmidt, Matthew] Univ Florida, Educ Technol Dept, Gainesville, FL USA; [Palmer, Heath] Univ Cincinnati, Coll Engn &amp; Appl Sci, Cincinnati, OH USA</t>
  </si>
  <si>
    <t>University of Missouri System; University of Missouri Columbia; State University System of Florida; University of Florida; University System of Ohio; University of Cincinnati</t>
  </si>
  <si>
    <t>Glaser, N (corresponding author), Univ Missouri, Sch Informat Sci &amp; Learning Technol, Townsend Hall, Columbia, MO 65211 USA.</t>
  </si>
  <si>
    <t>2211-1662</t>
  </si>
  <si>
    <t>2211-1670</t>
  </si>
  <si>
    <t>TECHNOL KNOWL LEARN</t>
  </si>
  <si>
    <t>Technol. Knowl. Learn.</t>
  </si>
  <si>
    <t>10.1007/s10758-022-09594-x</t>
  </si>
  <si>
    <t>MAR 2022</t>
  </si>
  <si>
    <t>F7VZ8</t>
  </si>
  <si>
    <t>WOS:000773805000002</t>
  </si>
  <si>
    <t>Lorenzo, G; Newbutt, N; Lorenzo-Lledó, A</t>
  </si>
  <si>
    <t>Lorenzo, G.; Newbutt, N.; Lorenzo-Lledo, A.</t>
  </si>
  <si>
    <t>Global trends in the application of virtual reality for people with autism spectrum disorders: conceptual, intellectual and the social structure of scientific production</t>
  </si>
  <si>
    <t>JOURNAL OF COMPUTERS IN EDUCATION</t>
  </si>
  <si>
    <t>Bibliometric indicators; Virtual reality; Autism spectrum disorders; Conceptual structure</t>
  </si>
  <si>
    <t>OF-THE-LITERATURE; DISCIPLINARY JOURNALS; COCITATION ANALYSIS; ADOLESCENTS; CHILDREN; ENVIRONMENTS; STUDENTS; SCIENCE; SKILLS; WORK</t>
  </si>
  <si>
    <t>Research in recent years has shown an increase in scientific production on the application of virtual reality in people with autism spectrum disorder. However, there is no global picture about the research carried out in the field during the last years. Therefore, we propose to analyze conceptually, intellectually and socially the global trends in the use of virtual reality for learning by people with ASD through bibliometric techniques. A bibliometric analysis was carried out with a sample of 378 documents obtained from the main collection of the Web of Science during the period 1996-2020. Results show that Journal of Autism and Developmental Disorders is the Journal around which the field of publications is organized. In addition, those authors who receive the most citations are not the most producers, but they do take central positions in collaborative networks. Therefore, it produces teams of more authors. Finally, the use of cheaper and more portable VR devices has led to the spread of this tool to various areas of people with ASD that had not been worked on before. These are closely related to factors that influence social interactions. These findings may help to suggest the use of other bibliometric indicators that would broaden the field of knowledge of the study and the creation of a new software to analyse in more detail the application of VR in people with autism spectrum disorders.</t>
  </si>
  <si>
    <t>[Lorenzo, G.; Lorenzo-Lledo, A.] Univ Alicante, Dept Dev Psychol &amp; Teaching, Carretera San Vicente Raspeig S-N, Alicante 03690, Spain; [Newbutt, N.] Univ West England, Dept Educ &amp; Childhood, Bristol, Avon, England</t>
  </si>
  <si>
    <t>Universitat d'Alacant; University of West England</t>
  </si>
  <si>
    <t>Lorenzo, G (corresponding author), Univ Alicante, Dept Dev Psychol &amp; Teaching, Carretera San Vicente Raspeig S-N, Alicante 03690, Spain.</t>
  </si>
  <si>
    <t>alejandro.lorenzo@ua.es; Nigel.Newbutt@uwe.ac.uk; glledo@ua.es</t>
  </si>
  <si>
    <t>Lorenzo, Gonzalo/L-8243-2017; Lorenzo-Lledó, Alejandro/AAV-3674-2020; Lorenzo-Lledo, Alejandro/L-9953-2017</t>
  </si>
  <si>
    <t>Lorenzo-Lledo, Alejandro/0000-0002-0224-5824; Lorenzo, Gonzalo/0000-0002-1997-6260</t>
  </si>
  <si>
    <t>2197-9987</t>
  </si>
  <si>
    <t>2197-9995</t>
  </si>
  <si>
    <t>J COMPUT EDUC</t>
  </si>
  <si>
    <t>J. Comput. Educ.</t>
  </si>
  <si>
    <t>10.1007/s40692-021-00202-y</t>
  </si>
  <si>
    <t>0N3WO</t>
  </si>
  <si>
    <t>WOS:000693894600001</t>
  </si>
  <si>
    <t>Parr, JR; Brice, S; Welsh, P; Ingham, B; Le Couteur, A; Evans, G; Monaco, A; Freeston, M; Rodgers, J</t>
  </si>
  <si>
    <t>Parr, Jeremy R.; Brice, Samuel; Welsh, Patrick; Ingham, Barry; Le Couteur, Ann; Evans, Gemma; Monaco, Alexander; Freeston, Mark; Rodgers, Jacqui</t>
  </si>
  <si>
    <t>Treating anxiety in autistic adults: study protocol for the Personalised Anxiety Treatment-Autism (PAT-A©) pilot randomised controlled feasibility trial</t>
  </si>
  <si>
    <t>TRIALS</t>
  </si>
  <si>
    <t>Anxiety; Autism; Adults; Psychological therapy; Cognitive behaviour therapy; Randomised trial</t>
  </si>
  <si>
    <t>COGNITIVE-BEHAVIOR THERAPY; QUALITY-OF-LIFE; PSYCHIATRIC COMORBIDITY; SPECTRUM DISORDERS; ASPERGER SYNDROME; YOUNG-ADULTS; HOSPITAL ANXIETY; VIRTUAL-REALITY; DEPRESSION; SCALE</t>
  </si>
  <si>
    <t>Background Anxiety is common in autistic adults and significantly limits everyday opportunities and quality of life. Evidence-based psychological therapies offered by mental health services often fail to meet the needs of autistic adults. The development of appropriate treatments for mental health conditions and, in particular, anxiety has been identified as a key priority by the autism community. The Personalised Anxiety Treatment-Autism (PAT-A (c)) trial aims to address this need by investigating the feasibility and acceptability of delivering an individualised psychological treatment for anxiety experienced by autistic adults. Methods/design This is a pilot randomised controlled feasibility trial. Up to 40 autistic adults with clinically diagnosed anxiety will be randomised into one of two groups (either the PAT-A (c) intervention or Current Clinical Services Plus two emotional literacy skills sessions). Before randomisation, participants will receive a detailed clinical assessment to inform formulation and guide anxiety treatment. As part of the baseline assessment participants will also identify two personally important 'target situations' that cause significant anxiety and impact upon their daily life. Based upon the formulation and identified target situations, participants randomised to the PAT-A (c) intervention will receive up to 12 individualised, one-to-one therapy sessions. Initial emotional literacy training sessions will be followed by a bespoke, modular, needs-based treatment approach utilising one or more of the following approaches: Mindfulness, Coping with Uncertainty in Everyday Situations (CUES), social anxiety and graded exposure within Virtual Reality Environments. Participants in the control arm will receive two psycho-educational sessions focussing on understanding and describing emotions and be signposted to healthcare provision as required. Data will be collected through quantitative and qualitative methods. Discussion This feasibility pilot trial serves as the first stage in the development and evaluation of a manualised personalised, evidence-based psychological therapy treatment for anxiety in autistic adults. Study outcomes will be used to inform an application for a fully powered multi-site intervention trial of adults and young people.</t>
  </si>
  <si>
    <t>[Parr, Jeremy R.; Brice, Samuel; Ingham, Barry; Le Couteur, Ann; Monaco, Alexander; Rodgers, Jacqui] Newcastle Univ, Populat Hlth Sci Inst, Newcastle Upon Tyne, Tyne &amp; Wear, England; [Parr, Jeremy R.; Welsh, Patrick; Ingham, Barry; Evans, Gemma] Cumbria Northumberland Tyne &amp; Wear NHS Fdn Trust, Newcastle Upon Tyne, Tyne &amp; Wear, England; [Freeston, Mark] Newcastle Univ, Sch Psychol, Newcastle Upon Tyne, Tyne &amp; Wear, England</t>
  </si>
  <si>
    <t>Parr, JR; Brice, S (corresponding author), Newcastle Univ, Populat Hlth Sci Inst, Newcastle Upon Tyne, Tyne &amp; Wear, England.</t>
  </si>
  <si>
    <t>Jeremy.Parr@ncl.ac.uk; Samuel.Brice@ncl.ac.uk</t>
  </si>
  <si>
    <t>Freeston, Mark/JGD-7694-2023</t>
  </si>
  <si>
    <t>Ingham, Barry/0000-0002-7268-2288; Parr, Jeremy/0000-0002-2507-7878; Brice, Samuel/0000-0002-3501-2752</t>
  </si>
  <si>
    <t>UK autism research charity Autistica; Clinical Research Network</t>
  </si>
  <si>
    <t>UK autism research charity Autistica(Autistica); Clinical Research Network</t>
  </si>
  <si>
    <t>This trial was funded through a grant awarded by the UK autism research charity Autistica following an open funding call focussed on mental health. Autistica were not involved in the study design and collection, analysis, interpretation of data, or writing of the manuscript. Autistica is an NIHR partner organisation and thus the PAT-A (c) trial has been adopted to the NIHR portfolio of studies that receive support from the Clinical Research Network. The PAT-A (c) trial is part of the Autism Spectrum Adulthood and Ageing Research Programme at Newcastle University (https://research.ncl.ac.uk/adultautismspectrum/).</t>
  </si>
  <si>
    <t>1745-6215</t>
  </si>
  <si>
    <t>Trials</t>
  </si>
  <si>
    <t>MAR 14</t>
  </si>
  <si>
    <t>10.1186/s13063-020-4161-2</t>
  </si>
  <si>
    <t>Medicine, Research &amp; Experimental</t>
  </si>
  <si>
    <t>Research &amp; Experimental Medicine</t>
  </si>
  <si>
    <t>KW1ZB</t>
  </si>
  <si>
    <t>WOS:000520968300002</t>
  </si>
  <si>
    <t>Caruso, F; Peretti, S; Barletta, VS; Pino, MC; Mascio, TD</t>
  </si>
  <si>
    <t>Caruso, Federica; Peretti, Sara; Barletta, Vita Santa; Pino, Maria Chiara; Mascio, Tania Di</t>
  </si>
  <si>
    <t>Recommendations for Developing Immersive Virtual Reality Serious Game for Autism: Insights From a Systematic Literature Review</t>
  </si>
  <si>
    <t>IEEE ACCESS</t>
  </si>
  <si>
    <t>Autism spectrum disorder; design guidelines; immersive virtual reality; serious games; systematic review</t>
  </si>
  <si>
    <t>SPECTRUM DISORDER; PARTICIPATORY DESIGN; CHILDREN; INDIVIDUALS; FRAMEWORK; INTERVENTION; ENVIRONMENTS; LANGUAGE; ENGLISH; ADULTS</t>
  </si>
  <si>
    <t>The use of serious games for the treatment of people with autism is currently considered a promising approach due to its positive effects on promoting learning through playful and motivating experiences. In recent years, increased research has focused on serious games utilizing Immersive Virtual Reality (IVR) technologies, such as large-scale projection-based systems and head-mounted displays. The high level of immersion provided by IVR has been found to benefit learning outcomes, as it reduces environmental distractions and helps individuals focus on learning tasks while also addressing social anxiety. Researchers have conducted significant work in this field over the past decade, yielding promising results. However, the development of these learning interventions comes with methodological challenges and issues, especially in how to conduct the development process and design IVR-based serious games for the learning of people with autism. Based on these premises, this systematic review thoroughly analyzes the literature on developing IVR-based serious games for individuals with autism, discussing inherent shortcomings and reflecting on them. Then, twenty IVR-based serious games for people with autism developed between 2009 and mid-2021 are selected and analyzed, focusing on the people engaged in the development process, the design methodology adopted, and the serious game design framework employed. From this analysis, a set of recommendations are proposed to support anyone interested in developing IVR-based serious games for people with autism. In addition, the gaps left unsolved in the autism literature are highlighted, upon which a research agenda is grounded.</t>
  </si>
  <si>
    <t>[Caruso, Federica; Mascio, Tania Di] Univ Aquila, Dept Informat Engn Comp Sci &amp; Math, I-67100 Laquila, Italy; [Peretti, Sara] Univ Aquila, Ctr Excellence DEWS, I-67100 Laquila, Italy; [Barletta, Vita Santa] Univ Bari Aldo Moro, Dept Comp Sci, I-70121 Bari, Italy; [Pino, Maria Chiara] Univ Aquila, Dept Biotechnol &amp; Appl Clin Sci, I-67100 Laquila, Italy</t>
  </si>
  <si>
    <t>University of L'Aquila; University of L'Aquila; Universita degli Studi di Bari Aldo Moro; University of L'Aquila</t>
  </si>
  <si>
    <t>Caruso, F (corresponding author), Univ Aquila, Dept Informat Engn Comp Sci &amp; Math, I-67100 Laquila, Italy.</t>
  </si>
  <si>
    <t>federica.caruso1@univaq.it</t>
  </si>
  <si>
    <t>Caruso, Federica/MCJ-2679-2025; Barletta, Vita Santa/ABB-6603-2021; Di Mascio, Tania/M-9725-2016</t>
  </si>
  <si>
    <t>Barletta, Vita Santa/0000-0002-0163-6786; Caruso, Federica/0000-0002-6167-3896; Di Mascio, Tania/0000-0002-8069-1168</t>
  </si>
  <si>
    <t>2169-3536</t>
  </si>
  <si>
    <t>IEEE Access</t>
  </si>
  <si>
    <t>10.1109/ACCESS.2023.3296882</t>
  </si>
  <si>
    <t>Computer Science, Information Systems; Engineering, Electrical &amp; Electronic; Telecommunications</t>
  </si>
  <si>
    <t>Computer Science; Engineering; Telecommunications</t>
  </si>
  <si>
    <t>N6TJ1</t>
  </si>
  <si>
    <t>WOS:001038309200001</t>
  </si>
  <si>
    <t>Tan, QP; Huang, LH; Xu, D; Cen, YG; Cao, Q</t>
  </si>
  <si>
    <t>Tan, Qi Peng; Huang, Lihui; Xu, Di; Cen, Yigang; Cao, Qi</t>
  </si>
  <si>
    <t>Serious Game for VR Road Crossing in Special Needs Education</t>
  </si>
  <si>
    <t>ELECTRONICS</t>
  </si>
  <si>
    <t>virtual reality; serious game; learning and training; living skills; road crossing</t>
  </si>
  <si>
    <t>VIRTUAL-REALITY; CHILDREN</t>
  </si>
  <si>
    <t>Autism spectrum disorder (ASD) is a developmental disability that can impair communication, social skills, living skills, and learning capabilities. Learning approaches usually differ between mainstream schools and special needs schools, to cater for the different learning processes of children with ASD. Besides the traditional classroom-based education, alternative technology and methods are explored for special needs education. One method is to train children with ASD using Virtual Reality (VR) technologies. Many prior works show the effectiveness of VR-based learning with varying degrees of success. Some children with ASD may face challenges to gain independent living skills. Their parents or guardians have to expend a significant amount of effort in taking care of children with ASD. It will be very helpful if they can have a learning opportunity to gain such living skills. In this research, we develop a VR serious game to train children with ASD one of the basic living skills for road crossing safely. The VR serious game operates on multiple types of platforms, with various user interaction inputs including the Microsoft Kinect sensor, keyboard, mouse, and touch screen. The game design and methodology will be described in this paper. Experiments have been conducted to evaluate the learning effectiveness of the road crossing game, with very positive results achieved in the quiz and survey questionnaire after the gameplay.</t>
  </si>
  <si>
    <t>[Tan, Qi Peng] Singapore Univ Social Sci, Sch Sci &amp; Technol, Singapore 599494, Singapore; [Huang, Lihui] Nanyang Technol Univ, Sch Mech &amp; Aerosp Engn, Singapore 639798, Singapore; [Xu, Di] Media Innovat Lab, Huawei Cloud, Xian 710077, Peoples R China; [Cen, Yigang] Beijing Jiaotong Univ, Inst Informat Sci, Beijing 100044, Peoples R China; [Cao, Qi] Univ Glasgow, Sch Comp Sci, Singapore 567739, Singapore</t>
  </si>
  <si>
    <t>Singapore University of Social Sciences (SUSS); Nanyang Technological University; Huawei Technologies; Beijing Jiaotong University</t>
  </si>
  <si>
    <t>Cao, Q (corresponding author), Univ Glasgow, Sch Comp Sci, Singapore 567739, Singapore.</t>
  </si>
  <si>
    <t>qi.cao@glasgow.ac.uk</t>
  </si>
  <si>
    <t>Cen, Yigang/AAC-1999-2019; Cao, Qi/AAU-1127-2021</t>
  </si>
  <si>
    <t>CAO, Qi/0000-0003-3243-5693; , LIHUI/0000-0002-9589-6393</t>
  </si>
  <si>
    <t>School of Science and Technology, Singapore University of Social Sciences</t>
  </si>
  <si>
    <t>The authors would thank Jason Seng, HOD of Special Projects, and Sarah D. Sacro from Katong School, Singapore for their help and suggestions on the design of quiz and survey questions in this research. The authors would also like to thank the School of Science and Technology, Singapore University of Social Sciences for their support.</t>
  </si>
  <si>
    <t>2079-9292</t>
  </si>
  <si>
    <t>ELECTRONICS-SWITZ</t>
  </si>
  <si>
    <t>Electronics</t>
  </si>
  <si>
    <t>10.3390/electronics11162568</t>
  </si>
  <si>
    <t>Computer Science, Information Systems; Engineering, Electrical &amp; Electronic; Physics, Applied</t>
  </si>
  <si>
    <t>Computer Science; Engineering; Physics</t>
  </si>
  <si>
    <t>4B7SG</t>
  </si>
  <si>
    <t>Green Accepted, gold, Green Published</t>
  </si>
  <si>
    <t>WOS:000845971500001</t>
  </si>
  <si>
    <t>Koirala, A; Yu, ZW; Schiltz, H; Van Hecke, A; Armstrong, B; Zheng, Z</t>
  </si>
  <si>
    <t>Koirala, Ankit; Yu, Zhiwei; Schiltz, Hillary; Van Hecke, Amy; Armstrong, Brian; Zheng, Zhi</t>
  </si>
  <si>
    <t>A Preliminary Exploration of Virtual Reality-Based Visual and Touch Sensory Processing Assessment for Adolescents With Autism Spectrum Disorder</t>
  </si>
  <si>
    <t>Games; Visualization; Robot sensing systems; Variable speed drives; Painting; Three-dimensional displays; Sensitivity; Autism spectrum disorder; sensory assessment; virtual reality</t>
  </si>
  <si>
    <t>DEFICIT HYPERACTIVITY DISORDER; CHILDREN; INTEGRATION</t>
  </si>
  <si>
    <t>Sensory abnormalities are experienced by 90 - 95% of individuals with Autism Spectrum Disorder (ASD), a developmental disorder that impacts at least 1 in 132 children worldwide. Virtual reality (VR) technologies can precisely present sensory stimuli and be integrated with human sensing technologies to automatically detect sensory responses, and thus has a potential to improve sensory assessment objectiveness and sensitivity, compared to traditional questionnaire-based methods. However, there is a lack of evidence to demonstrate this potential. Therefore, we designed and developed a preliminary sensory assessment VR system (SAVR) to objectively and precisely evaluate the visual and touch sensory processing differences between adolescents with ASD and their typically developing (TD) peers through game playing. A controlled experiment was conducted with 12 adolescents with ASD and 12 TD adolescents. Participants' sensory pattern was assessed by SAVR and a widely used traditional questionnaire-the Adult/Adolescent Sensory Profile (AASP). We hypothesized that: 1) compared to AASP, SAVR can find more significant differences between the two participant groups, and 2) there are significant and strong correlations between the SAVR results and the AASP results. Statistical analyses of the experimental data supported the hypotheses. The implication and limitations of this preliminary exploration as well as future works are discussed.</t>
  </si>
  <si>
    <t>[Koirala, Ankit; Armstrong, Brian] Univ Wisconsin, Dept Elect Engn, Milwaukee, WI 53211 USA; [Yu, Zhiwei; Zheng, Zhi] Rochester Inst Technol, Dept Biomed Engn, Rochester, NY 14623 USA; [Schiltz, Hillary; Van Hecke, Amy] Marquette Univ, Dept Psychol, Milwaukee, WI 53233 USA</t>
  </si>
  <si>
    <t>University of Wisconsin System; University of Wisconsin Milwaukee; Rochester Institute of Technology; Marquette University</t>
  </si>
  <si>
    <t>Zheng, Z (corresponding author), Rochester Inst Technol, Dept Biomed Engn, Rochester, NY 14623 USA.</t>
  </si>
  <si>
    <t>ankitkoirala000@gmail.com; zy1983@g.rit.edu; hillary.schiltz@marquette.edu; amy.vanhecke@marquette.edu; bsra@uwm.edu; zhzbme@rit.edu</t>
  </si>
  <si>
    <t>Vaughan Van Hecke, Amy/0000-0002-0495-9054; Zheng, Zhi/0000-0001-6211-6744</t>
  </si>
  <si>
    <t>10.1109/TNSRE.2021.3064148</t>
  </si>
  <si>
    <t>QY0JC</t>
  </si>
  <si>
    <t>WOS:000629725600001</t>
  </si>
  <si>
    <t>Malihi, Mahan; Nguyen, Jenny; Cardy, Robyn E.; Eldon, Salina; Petta, Cathy; Kushki, Azadeh</t>
  </si>
  <si>
    <t>Data-Driven Discovery of Predictors of Virtual Reality Safety and Sense of Presence for Children With Autism Spectrum Disorder: A Pilot Study</t>
  </si>
  <si>
    <t>autism spectrum disorder; virtual reality; technology-aided intervention; usability study; sense of presence; oculus; data-driven; machine learning</t>
  </si>
  <si>
    <t>PHYSICAL-ACTIVITY; ENVIRONMENTS; ADOLESCENTS; SCREEN; ADULTS; QUESTIONNAIRE; PERFORMANCE; INTERVIEW; RESPONSES; OUTCOMES</t>
  </si>
  <si>
    <t>Virtual reality (VR) offers children with autism spectrum disorder (ASD) an inexpensive and motivating medium to learn and practice skills in a personalized, controlled, and safe setting; however, outcomes of VR interventions can vary widely. In particular, there is a need to understand the predictors of VR experience in children with ASD to inform the design of these interventions. To address this gap, a sample of children with ASD (n=35, mean age: 13.0 +/- 2.6 years; 10 female) participated in a pilot study involving an immersive VR experience delivered through a head-mounted display. A data-driven approach was used to discover predictors of VR safety and sense of presence among a range of demographic and phenotypic user characteristics. Our results suggest that IQ may be a key predictor of VR sense of presence and that anxiety may modify the association between IQ and sense of presence. In particular, in low-anxiety participants, IQ was linearly related to experienced spatial presence and engagement, whereas, in high-anxiety participants, this association followed a quadratic form. The results of this pilot study, when replicated in larger samples, will inform the design of future studies on VR interventions for children with ASD.</t>
  </si>
  <si>
    <t>[Malihi, Mahan; Nguyen, Jenny; Kushki, Azadeh] Univ Toronto, Inst Biomed Engn, Toronto, ON, Canada; [Malihi, Mahan; Nguyen, Jenny; Cardy, Robyn E.; Eldon, Salina; Petta, Cathy; Kushki, Azadeh] Holland Bloorview Kids Rehabil Hosp, Autism Res Ctr, Bloorview Res Inst, Toronto, ON, Canada</t>
  </si>
  <si>
    <t>University of Toronto; University of Toronto; Holland Bloorview Kids Rehabilitation Hospital</t>
  </si>
  <si>
    <t>Kushki, A (corresponding author), Univ Toronto, Inst Biomed Engn, Toronto, ON, Canada.;Kushki, A (corresponding author), Holland Bloorview Kids Rehabil Hosp, Autism Res Ctr, Bloorview Res Inst, Toronto, ON, Canada.</t>
  </si>
  <si>
    <t>Natural Sciences and Engineering Research Council of Canada (NSERC); Ontario Centres of Excellence (OCE) [26308]; Holland Bloorview Foundation Graduate Student Scholarship</t>
  </si>
  <si>
    <t>Natural Sciences and Engineering Research Council of Canada (NSERC)(Natural Sciences and Engineering Research Council of Canada (NSERC)); Ontario Centres of Excellence (OCE); Holland Bloorview Foundation Graduate Student Scholarship</t>
  </si>
  <si>
    <t>The study was funded by the Natural Sciences and Engineering Research Council of Canada (NSERC) and Ontario Centres of Excellence (OCE) grant number 26308. Shaftesbury, a media company developing VR experiences for children, including those with ASD, contributed to NSERC/OCE funding. MMwas funded by the Holland Bloorview Foundation Graduate Student Scholarship.</t>
  </si>
  <si>
    <t>AUG 4</t>
  </si>
  <si>
    <t>10.3389/fpsyt.2020.00669</t>
  </si>
  <si>
    <t>NF5FX</t>
  </si>
  <si>
    <t>WOS:000563323100001</t>
  </si>
  <si>
    <t>Lorenzo, G; Lorenzo-Lledó, A; Lledó, A; Pérez-Vázquez, E</t>
  </si>
  <si>
    <t>Lorenzo, Gonzalo; Lorenzo-Lledo, Alejandro; Lledo, Asuncion; Perez-Vazquez, Elena</t>
  </si>
  <si>
    <t>Application of virtual reality in people with ASD from 1996 to 2019</t>
  </si>
  <si>
    <t>Autism; Virtual reality; Intervention; Asperger; Autism spectrum disorders; Immersive virtual reality</t>
  </si>
  <si>
    <t>H-INDEX; IMPACT FACTOR; AUTISM; STUDENTS; SCOPUS; TECHNOLOGY; SUPPORT; TOOL; WEB; REHABILITATION</t>
  </si>
  <si>
    <t>Purpose Diversity is one of the main characteristics of modern societies. To be teachers and trainers, it is necessary to use all the tools to respond to students with diversified needs. Therefore, the main aim of this study is to review the scientific production in Web of Science (WOS) and SCOPUS of 1996-2019 on the application of Virtual reality in people with Autism Spectrum Disoders (ASD) for the improvement of social skills. Design/methodology/approach For this purpose, two databases have been used: The Web of Science (WOS) and SCOPUS from the advanced search tab. After applying the search terms, 267 documents were obtained which were analysed according to a series of indicators. Findings The results indicate that the period 2016-2019 was the most productive and that SCOPUS has a focus on conferences and WOS is intended for journals. Furthermore, in SCOPUS, there are journals with higher quartiles (Q1) than in WOS. The study shows the great importance of virtual reality in people with ASD and its recent dissemination. Originality/value Currently, to the best of the authors' knowledge, there are no studies on the use of virtual reality in people with ASD using bibliometric indicators. The study allows us to know which databases publish higher quality research. Likewise, information can be obtained about the most productive centres and the most important authors on the subject.</t>
  </si>
  <si>
    <t>[Lorenzo, Gonzalo; Lorenzo-Lledo, Alejandro; Lledo, Asuncion; Perez-Vazquez, Elena] Univ Alicante, Alicante, Spain</t>
  </si>
  <si>
    <t>Universitat d'Alacant</t>
  </si>
  <si>
    <t>Lorenzo, G (corresponding author), Univ Alicante, Alicante, Spain.</t>
  </si>
  <si>
    <t>glledo@gcloud.ua.es</t>
  </si>
  <si>
    <t>Lorenzo, Gonzalo/L-8243-2017; Pérez-Vázquez, Elena/ABF-7728-2020; Lorenzo-Lledo, Alejandro/L-9953-2017</t>
  </si>
  <si>
    <t>Lorenzo, Gonzalo/0000-0002-1997-6260; Lorenzo-Lledo, Alejandro/0000-0002-0224-5824; PEREZ-VAZQUEZ, ELENA/0000-0001-9738-276X; Lledo Carreres, Asuncion/0000-0001-6719-467X</t>
  </si>
  <si>
    <t>floor 5, Northspring 21-23 Wellington Street, Leeds, W YORKSHIRE, ENGLAND</t>
  </si>
  <si>
    <t>10.1108/JET-01-2020-0005</t>
  </si>
  <si>
    <t>MAY 2020</t>
  </si>
  <si>
    <t>NM7DL</t>
  </si>
  <si>
    <t>WOS:000534749100001</t>
  </si>
  <si>
    <t>Sveinbjörnsdóttir, B; Jóhannsson, SH; Oddsdóttir, J; Sigurdardóttir, TT; Valdimarsson, GI; Vilhjálmsson, HH</t>
  </si>
  <si>
    <t>Sveinbjornsdottir, Berglind; Johannsson, Snorri Hjorvar; Oddsdottir, Julia; Sigurdardottir, Tinna Thuridur; Valdimarsson, Gunnar Ingi; Vilhjalmsson, Hannes Hogni</t>
  </si>
  <si>
    <t>Virtual discrete trial training for teacher trainees</t>
  </si>
  <si>
    <t>JOURNAL ON MULTIMODAL USER INTERFACES</t>
  </si>
  <si>
    <t>Virtual reality; Teacher training; Virtual student; Discrete trial training; Autism</t>
  </si>
  <si>
    <t>MULTIPLE-BASE-LINE; REALITY; IMPLEMENTATION; CHILDREN; STUDENTS; INSTRUCTORS; FIDELITY; SYSTEM; MODEL</t>
  </si>
  <si>
    <t>It is crucial that teaching methods are conducted accurately when teaching children with autism spectrum disorder. This can be addressed by providing new teachers with ample opportunity to practice their teaching skills while receiving feedback from a supervisor. Unfortunately, due to lack of resources, this is not always possible. Advances in Virtual Reality and Virtual Human research are making technical solutions possible, where teachers can receive situational training in simulated environments with virtual students, virtual props and automated feedback. The aim of the present work was to apply this approach to the training of special education teachers that needed to master a teaching method called Discrete Trial Training (DTT), which is particularly well suited for teaching children with autism. The first phase of the project focused on supporting the method itself with constructive feedback and basic interaction with a virtual child. A study, based on in-depth single-subject design, with a group of real teacher trainees, indicates that the teachers were able to demonstrate basic DTT skills after experiencing teaching trials in a VR environment, indicating that this approach is viable.</t>
  </si>
  <si>
    <t>[Sveinbjornsdottir, Berglind; Valdimarsson, Gunnar Ingi] Reykjavik Univ, Sch Business, Dept Psychol, Reykjavik, Iceland; [Johannsson, Snorri Hjorvar; Oddsdottir, Julia; Sigurdardottir, Tinna Thuridur; Vilhjalmsson, Hannes Hogni] Reykjavik Univ, Sch Comp Sci, CADIA, Reykjavik, Iceland</t>
  </si>
  <si>
    <t>Reykjavik University; Reykjavik University</t>
  </si>
  <si>
    <t>Vilhjálmsson, HH (corresponding author), Reykjavik Univ, Sch Comp Sci, CADIA, Reykjavik, Iceland.</t>
  </si>
  <si>
    <t>berglindsv@ru.is; hannes@ru.is</t>
  </si>
  <si>
    <t>Vilhjalmsson, Hannes Hogni/0000-0002-7366-6933; Sveinbjornsdottir, Berglind/0000-0003-0073-6571</t>
  </si>
  <si>
    <t>Icelandic Student Innovation Fund [1646460091]</t>
  </si>
  <si>
    <t>Icelandic Student Innovation Fund</t>
  </si>
  <si>
    <t>We would like to thank Kamilla Run Johannsdottir for her valuable contribution to the project when it was taking shape. We would also like to thank asa Run Ingimarsdottir for her enthusiasm for the project and for providing access to real teachers in training. This research was supported by grant number 1646460091 from the Icelandic Student Innovation Fund.</t>
  </si>
  <si>
    <t>1783-7677</t>
  </si>
  <si>
    <t>1783-8738</t>
  </si>
  <si>
    <t>J MULTIMODAL USER IN</t>
  </si>
  <si>
    <t>J. Multimodal User Interfaces</t>
  </si>
  <si>
    <t>10.1007/s12193-018-0288-9</t>
  </si>
  <si>
    <t>HM9MC</t>
  </si>
  <si>
    <t>WOS:000459807800004</t>
  </si>
  <si>
    <t>Fridhi, A; Benzarti, F; Frihida, A; Amiri, H</t>
  </si>
  <si>
    <t>Fridhi, A.; Benzarti, F.; Frihida, A.; Amiri, H.</t>
  </si>
  <si>
    <t>Application of Virtual Reality and Augmented Reality in Psychiatry and Neuropsychology, in Particular in the Case of Autistic Spectrum Disorder (ASD)</t>
  </si>
  <si>
    <t>NEUROPHYSIOLOGY</t>
  </si>
  <si>
    <t>ICT; virtual reality; augmented reality; autism; autistic spectrum disorder (ASD); 3D; virtual environment (VE); collaborative virtual environment (CVE); activities of daily living (ADL)</t>
  </si>
  <si>
    <t>ENVIRONMENTS; ADOLESCENTS</t>
  </si>
  <si>
    <t>y This paper is a combination of a review of the papers related to applications of virtual reality and augmented reality in various aspects of psychiatry and neurophysiology, with special attention to using the respective approaches in the case of autistic spectrum disorders (ASDs) and of a description of the studies of the authors dealing with the corresponding problem. The major emphasis is put on the elements that contribute to the amelioration of communicative and emotional skills in such children, mainly related to modeled applications, computers, and an output interface (projection). This study, therefore, focuses on the understanding of the elements simplifying the development of these new information and communication technologies. In order to answer our queries, we used exploratory interviews and specific reviews, such as virtual or augmented reality and virtual (preferably geo-localized) environments used to provide children with ASD a database containing varied and multimodal information for various purposes: (i) a display of the 3D environment and its constituent objects, (ii) understanding of the task, (iii) an increase in the salience of certain objects, (iv) issuance of instructions associated with interaction with the environment in order to increase the capacity of an individual to process and use received information to allow a better performance of the activities of daily living (ADL), (v) simulation of everyday activities, repeating them as necessary things, and graduating them in order to be able to control a given situation, and (vi) introducing many innovative techniques that are not well-known in the treatment of ASD.</t>
  </si>
  <si>
    <t>[Fridhi, A.; Benzarti, F.; Frihida, A.; Amiri, H.] Natl Sch Engineers Tunis ENIT, LR SITI ENIT Lab, Tunis, Tunisia</t>
  </si>
  <si>
    <t>Universite de Tunis-El-Manar; Ecole Nationale d'Ingenieurs de Tunis (ENIT)</t>
  </si>
  <si>
    <t>Fridhi, A (corresponding author), Natl Sch Engineers Tunis ENIT, LR SITI ENIT Lab, Tunis, Tunisia.</t>
  </si>
  <si>
    <t>adel.fridhi2013@gmail.com; benzartif@yahoo.fr; ali.frihida@enit.rnu.tn; hamidlamiri@gmail.com</t>
  </si>
  <si>
    <t>Benzarti, Faouzi/H-8065-2018; Amiri, hamid/GXV-4805-2022</t>
  </si>
  <si>
    <t>0090-2977</t>
  </si>
  <si>
    <t>1573-9007</t>
  </si>
  <si>
    <t>NEUROPHYSIOLOGY+</t>
  </si>
  <si>
    <t>Neurophysiology</t>
  </si>
  <si>
    <t>10.1007/s11062-018-9741-3</t>
  </si>
  <si>
    <t>Neurosciences; Physiology</t>
  </si>
  <si>
    <t>Neurosciences &amp; Neurology; Physiology</t>
  </si>
  <si>
    <t>GU2PX</t>
  </si>
  <si>
    <t>WOS:000445113400012</t>
  </si>
  <si>
    <t>Andrade, J; Cecílio, J; Simoes, M; Sales, F; Castelo-Branco, M</t>
  </si>
  <si>
    <t>Andrade, Joao; Cecilio, Jose; Simoes, Marco; Sales, Francisco; Castelo-Branco, Miguel</t>
  </si>
  <si>
    <t>Separability of motor imagery of the self from interpretation of motor intentions of others at the single trial level: an EEG study</t>
  </si>
  <si>
    <t>EEG; Motor imagery; Classification; Single trial</t>
  </si>
  <si>
    <t>POSTERIOR PARIETAL CORTEX; ALPHA SYNCHRONIZATION; REPRESENTATIONS; ACTIVATION; EXECUTION; PET; INVOLVEMENT; PERCEPTION; NETWORKS; CIRCUITS</t>
  </si>
  <si>
    <t>Background: We aimed to investigate the separability of the neural correlates of 2 types of motor imagery, self and third person (actions owned by the participant himself vs. another individual). If possible this would allow for the development of BCI interfaces to train disorders of action and intention understanding beyond simple imitation, such as autism. Methods: We used EEG recordings from 20 healthy participants, as well as electrocorticography (ECoG) in one, based on a virtual reality setup. To test feasibility of discrimination between each type of imagery at the single trial level, time-frequency and source analysis were performed and further assessed by data-driven statistical classification using Support Vector Machines. Results: The main observed differences between self-other imagery conditions in topographic maps were found in Frontal and Parieto-Occipital regions, in agreement with the presence of 2 independent non mu related contributions in the low alpha frequency range. ECOG corroborated such separability. Source analysis also showed differences near the temporo- parietal junction and single-trial average classification accuracy between both types of motor imagery was 67 +/- 1%, and raised above 70% when 3 trials were used. The single-trial classification accuracy was significantly above chance level for all the participants of this study (p &lt; 0.02). Conclusions: The observed pattern of results show that Self and Third Person MI use distinct electrophysiological mechanisms detectable at the scalp (and ECOG) at the single trial level, with separable levels of involvement of the mirror neuron system in different regions. These observations provide a promising step to develop new BCI training/rehabilitation paradigms for patients with neurodevelopmental disorders of action understanding beyond simple imitation, such as autism, who would benefit from training and anticipation of the perceived intention of others as opposed to own intentions in social contexts.</t>
  </si>
  <si>
    <t>[Andrade, Joao; Simoes, Marco; Castelo-Branco, Miguel] Univ Coimbra, IBILI Inst Biomed Imaging Life Sci, Fac Med, Coimbra, Portugal; [Castelo-Branco, Miguel] ICNAS, Brain Imaging Network Portugal, CIBIT, Coimbra, Portugal; [Cecilio, Jose; Simoes, Marco] Univ Coimbra, Fac Sci &amp; Technol, CISUC, Coimbra, Portugal; [Sales, Francisco] Coimbra Univ Hosp, Coimbra, Portugal</t>
  </si>
  <si>
    <t>Universidade de Coimbra; Universidade de Coimbra; Universidade de Coimbra; Universidade de Coimbra; Centro Hospitalar e Universitario de Coimbra (CHUC)</t>
  </si>
  <si>
    <t>Castelo-Branco, M (corresponding author), Univ Coimbra, IBILI Inst Biomed Imaging Life Sci, Fac Med, Coimbra, Portugal.;Castelo-Branco, M (corresponding author), ICNAS, Brain Imaging Network Portugal, CIBIT, Coimbra, Portugal.</t>
  </si>
  <si>
    <t>Simões, Marco/U-3815-2019; Cecílio, José/B-4615-2015; Inacio, Francisco/KHX-4194-2024; Castelo-Branco, Miguel/F-3866-2019</t>
  </si>
  <si>
    <t>Simoes, Marco/0000-0003-3713-2464; Cecilio, Jose/0000-0002-5351-5580; Inacio, Francisco/0000-0003-0834-066X; Castelo-Branco, Miguel/0000-0003-4364-6373</t>
  </si>
  <si>
    <t>European project BRAINTRAIN [FP7-HEALTH-INNOVATION-1-602 186]; Portuguese Fundacao para a Ciencia e a Tecnologia (FCT) [SFRH/BPD/96749/2013, SFRH/BD/77044/2011, POCI-01-0145-FEDER-016428, FCT UID/NEU/04539/2013-2020/COMPETE/POCI-01-0145-FEDER-007440, CENTRO-01-0145-FEDER-000016]; Fundação para a Ciência e a Tecnologia [SFRH/BD/77044/2011, SFRH/BPD/96749/2013] Funding Source: FCT</t>
  </si>
  <si>
    <t>European project BRAINTRAIN; Portuguese Fundacao para a Ciencia e a Tecnologia (FCT)(Fundacao para a Ciencia e a Tecnologia (FCT)); Fundação para a Ciência e a Tecnologia(Fundacao para a Ciencia e a Tecnologia (FCT))</t>
  </si>
  <si>
    <t>This work was supported by the European project BRAINTRAIN - FP7-HEALTH-2013-INNOVATION-1-602, 186, Portuguese Fundacao para a Ciencia e a Tecnologia (FCT), Grant SFRH/BPD/96749/2013, Grant SFRH/BD/77044/2011, POCI-01-0145-FEDER-016428 (PAC MEDPSERSYST), FCT UID/NEU/04539/2013-2020/COMPETE/POCI-01-0145-FEDER-007440, BIGDATIMAGE - From computational modelling and clinical research to the development of neuroimaging big data platforms for discovery of novel biomarker (CENTRO-01-0145-FEDER-000016). Funding bodies had no role in the design of the study and collection, analysis, and interpretation of data and in writing the manuscript.</t>
  </si>
  <si>
    <t>JUN 26</t>
  </si>
  <si>
    <t>10.1186/s12984-017-0276-4</t>
  </si>
  <si>
    <t>FA8IW</t>
  </si>
  <si>
    <t>WOS:000405690600002</t>
  </si>
  <si>
    <t>Caruana, N; McArthur, G; Woolgar, A; Brock, J</t>
  </si>
  <si>
    <t>Caruana, Nathan; McArthur, Genevieve; Woolgar, Alexandra; Brock, Jon</t>
  </si>
  <si>
    <t>Detecting communicative intent in a computerised test of joint attention</t>
  </si>
  <si>
    <t>PEERJ</t>
  </si>
  <si>
    <t>Joint attention; Social interaction; Eye -tracking; Virtual reality; Eye gaze; Mentalising</t>
  </si>
  <si>
    <t>INDIVIDUAL-DIFFERENCES; EYE CONTACT; AUTISM; CHILDREN; LANGUAGE; GAZE; SPECTRUM; IMITATION; INFANTS; PLAY</t>
  </si>
  <si>
    <t>The successful navigation of social interactions depends on a range of cognitive faculties including the ability to achieve joint attention with others to share in formation and experiences, we investigated the influence that intention monitoring Processes have on gaze-following response times during joint attention. We employed a virtual reality task in which 16 healthy adults engaged in a collaborative game with a virtual partner to locate a target in a visual array. In the Search task, the virtual Partner was programmed to engage in non communicative gaze shifts in search of the target,establish eye contact, and then display a communicative gaze sift to guide the participant to the target. In the No Search task, the virtual partner simply established eye contact and then made a single communicative gaze shift towards the target (i.e.,there were no non-communicative gaze shifts in search of the target). Thus,only the Search task required participants to monitor their partner's communicative intent before responding to joint attention bids. We found that gaze following was significantly slower in the Search task than the NoSearch task. However, the sane effect on response tires was not observed when participants completed non-social control versions of the Search and NoSearch tasks,in which the avatar's gaze was replaced by arrow cues. These data demonstrate that the intention monitoring processes involved in differentiating communicative and non communicative gaze shifts during the Search task had a measurable infuence on subsequent joint attention behaviour. The empirical and methodological implcations of these findings for the fields of autism and social neuroscience will be discussed.</t>
  </si>
  <si>
    <t>[Caruana, Nathan; McArthur, Genevieve; Woolgar, Alexandra] Macquarie Univ, Dept Cognit Sci, Sydney, NSW, Australia; [Caruana, Nathan; McArthur, Genevieve; Woolgar, Alexandra; Brock, Jon] ARC Ctr Excellence Cognit &amp; Its Disorders, Sydney, NSW, Australia; [Caruana, Nathan; Woolgar, Alexandra] Percept Act Res Ctr, Sydney, NSW, Australia; [McArthur, Genevieve; Brock, Jon] Ctr Atyp Neurodev, Sydney, NSW, Australia; [Brock, Jon] Macquarie Univ, Dept Psychol, Sydney, NSW, Australia</t>
  </si>
  <si>
    <t>Macquarie University; Macquarie University</t>
  </si>
  <si>
    <t>Caruana, N (corresponding author), Macquarie Univ, Dept Cognit Sci, Sydney, NSW, Australia.;Caruana, N (corresponding author), ARC Ctr Excellence Cognit &amp; Its Disorders, Sydney, NSW, Australia.;Caruana, N (corresponding author), Percept Act Res Ctr, Sydney, NSW, Australia.</t>
  </si>
  <si>
    <t>nathan.caruana@mq.edu.au</t>
  </si>
  <si>
    <t>Brock, Jon/0000-0002-9655-3667; McArthur, Genevieve/0000-0003-1912-820X; Caruana, Nathan/0000-0002-9676-814X; Woolgar, Alexandra/0000-0002-8453-7424</t>
  </si>
  <si>
    <t>Australian Research Council [CE110001021, DE120100898, DP098466]; Australian Research Council [DE120100898] Funding Source: Australian Research Council</t>
  </si>
  <si>
    <t>Australian Research Council(Australian Research Council); Australian Research Council(Australian Research Council)</t>
  </si>
  <si>
    <t>This work was supported by the Australian Research Council [CE110001021, DE120100898, DP098466] and an Australian Postgraduate Award to Dr. Caruana. The funders had no role in study design, data collection and analysis, decision to publish, or preparation of the manuscript.</t>
  </si>
  <si>
    <t>PEERJ INC</t>
  </si>
  <si>
    <t>341-345 OLD ST, THIRD FLR, LONDON, EC1V 9LL, ENGLAND</t>
  </si>
  <si>
    <t>2167-8359</t>
  </si>
  <si>
    <t>PeerJ</t>
  </si>
  <si>
    <t>JAN 17</t>
  </si>
  <si>
    <t>e2899</t>
  </si>
  <si>
    <t>10.7717/peerj.2899</t>
  </si>
  <si>
    <t>EL5ZD</t>
  </si>
  <si>
    <t>WOS:000394699300008</t>
  </si>
  <si>
    <t>Guzmán, G; Putrino, N; Martínez, F; Quiroz, N</t>
  </si>
  <si>
    <t>Guzman, Guido; Putrino, Natalia; Martinez, Felipe; Quiroz, Nicolas</t>
  </si>
  <si>
    <t>New technologies: communication bridges in autism spectrum disorders (ASD)</t>
  </si>
  <si>
    <t>TERAPIA PSICOLOGICA</t>
  </si>
  <si>
    <t>Spanish</t>
  </si>
  <si>
    <t>Autism; communication; technology; Augmentative and Alternative Communication; Apptismo</t>
  </si>
  <si>
    <t>SYSTEM PECS; CHILDREN; INTERVENTION; INDIVIDUALS; EDUCATION; BENEFITS; SPEECH; ROBOTS</t>
  </si>
  <si>
    <t>Autism Spectrum Disorder (ASD) refers to neurodevelopmental problems characterized by difficulties in social interaction, especially verbal or nonverbal communication. Research on ASD focuses in finding appropriate solutions for a patient, using all available resources (virtual interfaces, virtual reality, 3D environments, robotics, etc.) in order to develop therapeutic strategies. Therefore, the use of technologies to improve and stimulate communication, particularly in children with ASD, has increased exponentially in recent years. When used in therapeutic contexts, these tools allow a generalization of a child's behavior towards a natural context. Hence, the use of customized softwares for mobile devices will allow progress in treating ASD beyond a clinical setting and may be used at home/school to communicate with their close social peers.</t>
  </si>
  <si>
    <t>[Guzman, Guido; Quiroz, Nicolas] Inst Univ Hosp Italiano Buenos Aires, Lab Aprendizaje Biol &amp; Artificial, Dept Ingn Biomed, Inst Ciencias Basicas &amp; Med Expt, Potosi 4240 4to Piso,CP 1199ACL, Buenos Aires, DF, Argentina; [Putrino, Natalia; Martinez, Felipe] Univ Buenos Aires, Fac Psicol, Buenos Aires, DF, Argentina; [Putrino, Natalia] Univ Abierta Interamer, Fac Psicol, CONICET, CIIPME,Unidad Ejecutora, Buenos Aires, DF, Argentina</t>
  </si>
  <si>
    <t>Hospital Italiano de Buenos Aires; University of Buenos Aires; Consejo Nacional de Investigaciones Cientificas y Tecnicas (CONICET)</t>
  </si>
  <si>
    <t>Guzmán, G (corresponding author), Inst Univ Hosp Italiano Buenos Aires, Lab Aprendizaje Biol &amp; Artificial, Dept Ingn Biomed, Inst Ciencias Basicas &amp; Med Expt, Potosi 4240 4to Piso,CP 1199ACL, Buenos Aires, DF, Argentina.</t>
  </si>
  <si>
    <t>guido.guzman@hospitalitaliano.org.ar</t>
  </si>
  <si>
    <t>Quiroz, Norma/GPT-1025-2022; Guzman, Guido/GSD-7308-2022; Putrino, Natalia/AAV-7712-2021</t>
  </si>
  <si>
    <t>SOCIEDAD CHILENA PSICOLOGIA CLINICA</t>
  </si>
  <si>
    <t>SANTIAGO</t>
  </si>
  <si>
    <t>RICARDO MATTE PEREZ 492 PROVIDENCIA, SANTIAGO, 00000, CHILE</t>
  </si>
  <si>
    <t>0718-4808</t>
  </si>
  <si>
    <t>TER PSICOL</t>
  </si>
  <si>
    <t>Ter. Psicol.</t>
  </si>
  <si>
    <t>10.4067/S0718-48082017000300247</t>
  </si>
  <si>
    <t>FY1SL</t>
  </si>
  <si>
    <t>WOS:000426593300005</t>
  </si>
  <si>
    <t>Mouga, S; Duarte, IC; Café, C; Sousa, D; Duque, F; Oliveira, G; Castelo-Branco, M</t>
  </si>
  <si>
    <t>Mouga, Susana; Duarte, Isabel Catarina; Cafe, Catia; Sousa, Daniela; Duque, Frederico; Oliveira, Guiomar; Castelo-Branco, Miguel</t>
  </si>
  <si>
    <t>Parahippocampal deactivation and hyperactivation of central executive, saliency and social cognition networks in autism spectrum disorder</t>
  </si>
  <si>
    <t>JOURNAL OF NEURODEVELOPMENTAL DISORDERS</t>
  </si>
  <si>
    <t>Autism spectrum disorder; Central executive network; Saliency network; Social cognition network; fMRI; Ecological task</t>
  </si>
  <si>
    <t>HIGH-FUNCTIONING AUTISM; DEFAULT-MODE; BRAIN; CONNECTIVITY; FMRI; ADOLESCENTS; CHILDREN; SYSTEM; CORTEX; UNDERCONNECTIVITY</t>
  </si>
  <si>
    <t>Background The concomitant role of the Central Executive, the Saliency and the Social Cognition networks in autism spectrum disorder (ASD) in demanding ecological tasks remains unanswered. We addressed this question using a novel task-based fMRI virtual-reality task mimicking a challenging daily-life chore that may present some difficulties to individuals with ASD: the EcoSupermarketX. Methods Participants included 29 adolescents: 15 with ASD and 15 with typical neurodevelopment (TD). They performed the EcoSupermarketX (a shopping simulation with three goal-oriented sub-tasks including no cue, non-social or social cues), during neuroimaging and eye-tracking. Results ASD differed from TD only in total time and distance to complete the social cue sub-task with matched eye-tracking measures. Neuroimaging revealed simultaneous hyperactivation across social, executive, and saliency circuits in ASD. In contrast, ASD showed reduced activation in the parahippocampal gyrus, involved in scene recognition. Conclusions When performing a virtual shopping task matching the performance of controls, ASD adolescents hyperactivate three core networks: executive, saliency and social cognition. Parahippocampal hypoactivation is consistent with effortless eidetic scene processing, in line with the notion of peaks and valleys of neural recruitment in individuals with ASD. These hyperactivation/hypoactivation patterns in daily life tasks provide a circuit-level signature of neural diversity in ASD, a possible intervention target.</t>
  </si>
  <si>
    <t>[Mouga, Susana; Duarte, Isabel Catarina; Sousa, Daniela; Oliveira, Guiomar; Castelo-Branco, Miguel] Univ Coimbra, CIBIT Coimbra Inst Biomed Imaging &amp; Translat Res, P-3000548 Coimbra, Portugal; [Mouga, Susana; Duarte, Isabel Catarina; Sousa, Daniela; Castelo-Branco, Miguel] Univ Coimbra, ICNAS Inst Nucl Sci Appl Hlth, Coimbra, Portugal; [Mouga, Susana; Cafe, Catia; Sousa, Daniela; Duque, Frederico; Oliveira, Guiomar] Ctr Hosp &amp; Univ Coimbra, Hosp Pediat, Neurodev &amp; Autism Unit, Child Dev Ctr, Coimbra, Portugal; [Duque, Frederico; Oliveira, Guiomar; Castelo-Branco, Miguel] Univ Coimbra, Fac Med, Coimbra, Portugal</t>
  </si>
  <si>
    <t>Universidade de Coimbra; Universidade de Coimbra; Universidade de Coimbra; Centro Hospitalar e Universitario de Coimbra (CHUC); Universidade de Coimbra</t>
  </si>
  <si>
    <t>Castelo-Branco, M (corresponding author), Univ Coimbra, CIBIT Coimbra Inst Biomed Imaging &amp; Translat Res, P-3000548 Coimbra, Portugal.;Castelo-Branco, M (corresponding author), Univ Coimbra, ICNAS Inst Nucl Sci Appl Hlth, Coimbra, Portugal.;Castelo-Branco, M (corresponding author), Univ Coimbra, Fac Med, Coimbra, Portugal.</t>
  </si>
  <si>
    <t>Oliveira, Guiomar/I-7255-2013; Sousa, Daniela/KYO-7759-2024; Duarte, Isabel/GQA-4258-2022; Mouga, Susana/AAF-6690-2020; Castelo-Branco, Miguel/F-3866-2019; Duque, Frederico/H-3692-2014</t>
  </si>
  <si>
    <t>Mouga, Susana/0000-0003-1072-4208; Castelo-Branco, Miguel/0000-0003-4364-6373; Duarte, Isabel Catarina/0000-0002-5620-2424; Sousa, Daniela/0000-0002-3358-8248; Duque, Frederico/0000-0001-5684-1472; Cafe, Catia/0000-0001-8369-1609</t>
  </si>
  <si>
    <t>Portuguese Foundation for Science and Technology [PAC MEDPERSYST POCI-01-0145-FEDER-016428, POCI-01-0145-FEDER-30852, FCT/UID/4950B/2020, UID-P-4950, DSAIPA/DS/0041/2020]; European Commission; Luso-American Development Foundation (FLAD) Life Sciences; [SFRH/BD/102779/2014]; [CENTRO-01-0145-FEDER-000016]</t>
  </si>
  <si>
    <t>Portuguese Foundation for Science and Technology(Fundacao para a Ciencia e a Tecnologia (FCT)); European Commission(European Union (EU)European Commission Joint Research Centre); Luso-American Development Foundation (FLAD) Life Sciences; ;</t>
  </si>
  <si>
    <t>This research was supported by the Portuguese Foundation for Science and Technology: PAC MEDPERSYST POCI-01-0145-FEDER-016428, CONNECT-BCI, POCI-01-0145-FEDER-30852, FCT/UID/4950B/2020, UID-P-4950, DSAIPA/DS/0041/2020, European Commission (AIMS-2-Trials), individual PhD scholarship: SFRH/BD/102779/2014 to SM, CENTRO-01-0145-FEDER-000016 to SM and DS (PI: MCB) and Luso-American Development Foundation (FLAD) Life Sciences. The funders had no role in study design, data collection and analysis, decision to publish or preparation of the manuscript.</t>
  </si>
  <si>
    <t>1866-1947</t>
  </si>
  <si>
    <t>1866-1955</t>
  </si>
  <si>
    <t>J NEURODEV DISORD</t>
  </si>
  <si>
    <t>J. Neurodev. Disord.</t>
  </si>
  <si>
    <t>10.1186/s11689-022-09417-1</t>
  </si>
  <si>
    <t>YQ3DS</t>
  </si>
  <si>
    <t>WOS:000749193600001</t>
  </si>
  <si>
    <t>Mukherjee, D; Bhavnani, S; Estrin, GL; Rao, V; Dasgupta, J; Irfan, H; Chakrabarti, B; Patel, V; Belmonte, MK</t>
  </si>
  <si>
    <t>Mukherjee, Debarati; Bhavnani, Supriya; Estrin, Georgia Lockwood; Rao, Vaisnavi; Dasgupta, Jayashree; Irfan, Hiba; Chakrabarti, Bhismadev; Patel, Vikram; Belmonte, Matthew K.</t>
  </si>
  <si>
    <t>Digital tools for direct assessment of autism risk during early childhood: A systematic review</t>
  </si>
  <si>
    <t>ASD; assessments; computer; digital; gamified; low-resource; mHealth; scalable; smartphone; tablet; virtual reality</t>
  </si>
  <si>
    <t>MIDDLE-INCOME COUNTRIES; HIGH-FUNCTIONING AUTISM; SPECTRUM DISORDER; YOUNG-CHILDREN; ASPERGERS-DISORDER; EXECUTIVE FUNCTION; JOINT ATTENTION; MOTOR; IDENTIFICATION; INTERVENTION</t>
  </si>
  <si>
    <t>Current challenges in early identification of autism spectrum disorder lead to significant delays in starting interventions, thereby compromising outcomes. Digital tools can potentially address this barrier as they are accessible, can measure autism-relevant phenotypes and can be administered in children's natural environments by non-specialists. The purpose of this systematic review is to identify and characterise potentially scalable digital tools for direct assessment of autism spectrum disorder risk in early childhood. In total, 51,953 titles, 6884 abstracts and 567 full-text articles from four databases were screened using predefined criteria. Of these, 38 met inclusion criteria. Tasks are presented on both portable and non-portable technologies, typically by researchers in laboratory or clinic settings. Gamified tasks, virtual-reality platforms and automated analysis of video or audio recordings of children's behaviours and speech are used to assess autism spectrum disorder risk. Tasks tapping social communication/interaction and motor domains most reliably discriminate between autism spectrum disorder and typically developing groups. Digital tools employing objective data collection and analysis methods hold immense potential for early identification of autism spectrum disorder risk. Next steps should be to further validate these tools, evaluate their generalisability outside laboratory or clinic settings, and standardise derived measures across tasks. Furthermore, stakeholders from underserved communities should be involved in the research and development process. Lay abstract The challenge of finding autistic children, and finding them early enough to make a difference for them and their families, becomes all the greater in parts of the world where human and material resources are in short supply. Poverty of resources delays interventions, translating into a poverty of outcomes. Digital tools carry potential to lessen this delay because they can be administered by non-specialists in children's homes, schools or other everyday environments, they can measure a wide range of autistic behaviours objectively and they can automate analysis without requiring an expert in computers or statistics. This literature review aimed to identify and describe digital tools for screening children who may be at risk for autism. These tools are predominantly at the 'proof-of-concept' stage. Both portable (laptops, mobile phones, smart toys) and fixed (desktop computers, virtual-reality platforms) technologies are used to present computerised games, or to record children's behaviours or speech. Computerised analysis of children's interactions with these technologies differentiates children with and without autism, with promising results. Tasks assessing social responses and hand and body movements are the most reliable in distinguishing autistic from typically developing children. Such digital tools hold immense potential for early identification of autism spectrum disorder risk at a large scale. Next steps should be to further validate these tools and to evaluate their applicability in a variety of settings. Crucially, stakeholders from underserved communities globally must be involved in this research, lest it fail to capture the issues that these stakeholders are facing.</t>
  </si>
  <si>
    <t>[Mukherjee, Debarati] Publ Hlth Fdn India, Indian Inst Publ Hlth Bengaluru, Bengaluru, India; [Bhavnani, Supriya; Dasgupta, Jayashree; Irfan, Hiba; Patel, Vikram] Child Dev Grp, Sangath, India; [Estrin, Georgia Lockwood] Birkbeck Univ London, London, England; [Estrin, Georgia Lockwood] Univ East London, London, England; [Rao, Vaisnavi] Inst Democracy &amp; Econ Affairs IDEAS, Kuala Lumpur, Malaysia; [Chakrabarti, Bhismadev] Univ Reading, Reading, Berks, England; [Chakrabarti, Bhismadev] Ashoka Univ, Sonipat, Haryana, India; [Chakrabarti, Bhismadev] India Autism Ctr, Kolkata, W Bengal, India; [Patel, Vikram] Harvard Med Sch, Boston, MA 02115 USA; [Patel, Vikram] Harvard TH Chan Sch Publ Hlth, Boston, MA USA; [Belmonte, Matthew K.] Com DEALL Trust, 224,6th A Main Rd,2nd Block, Bengaluru 560043, Karnataka, India; [Belmonte, Matthew K.] Nottingham Trent Univ, Nottingham, England</t>
  </si>
  <si>
    <t>Public Health Foundation of India; University of London; Birkbeck University London; University of East London; University of Reading; Ashoka University; Harvard University; Harvard Medical School; Harvard University; Harvard T.H. Chan School of Public Health; Nottingham Trent University</t>
  </si>
  <si>
    <t>Belmonte, MK (corresponding author), Com DEALL Trust, 224,6th A Main Rd,2nd Block, Bengaluru 560043, Karnataka, India.</t>
  </si>
  <si>
    <t>belmonte@mit.edu</t>
  </si>
  <si>
    <t>Mukherjee, Debarati/AAG-2955-2019; Patel, Vikram/ADE-3787-2022; Belmonte, Matthew/G-1170-2015</t>
  </si>
  <si>
    <t>Lockwood Estrin, Georgia/0000-0001-9865-1415; Belmonte, Matthew/0000-0002-4633-9400; Chakrabarti, Bhismadev/0000-0002-6649-7895</t>
  </si>
  <si>
    <t>Department of Science and Technology-INSPIRE Faculty Award [2016/DST/INSPIRE/04-I/2016/000001]; Sir Henry Wellcome Fellowship (Wellcome Trust) [204706/Z/16/Z]; Medical Research Council UK (STREAM) [MR/S036423/1]; Wellcome Trust [204706/Z/16/Z] Funding Source: Wellcome Trust; MRC [MR/S036423/1, MR/P023894/1] Funding Source: UKRI</t>
  </si>
  <si>
    <t>Department of Science and Technology-INSPIRE Faculty Award; Sir Henry Wellcome Fellowship (Wellcome Trust)(Wellcome Trust); Medical Research Council UK (STREAM); Wellcome Trust(Wellcome Trust); MRC(UK Research &amp; Innovation (UKRI)Medical Research Council UK (MRC))</t>
  </si>
  <si>
    <t>The author(s) disclosed receipt of the following financial support for the research, authorship and/or publication of this article: D.M. was supported by the Department of Science and Technology-INSPIRE Faculty Award (2016/DST/INSPIRE/04-I/2016/000001). G.L.E. was supported by a Sir Henry Wellcome Fellowship (Wellcome Trust Grant No. 204706/Z/16/Z). The authors acknowledge funding from the Medical Research Council UK (STREAM, MR/S036423/1 awarded to B.C.).</t>
  </si>
  <si>
    <t>10.1177/13623613221133176</t>
  </si>
  <si>
    <t>EW7X6</t>
  </si>
  <si>
    <t>WOS:000879566800001</t>
  </si>
  <si>
    <t>Ip, HHS; Wong, SWL; Chan, DFY; Li, C; Kon, LL; Ma, PK; Lau, KSY; Byrne, J</t>
  </si>
  <si>
    <t>Ip, Horace H. S.; Wong, Simpson W. L.; Chan, Dorothy F. Y.; Li, Chen; Kon, Lo Lo; Ma, Po Ke; Lau, Kate S. Y.; Byrne, Julia</t>
  </si>
  <si>
    <t>Enhance affective expression and social reciprocity for children with autism spectrum disorder: using virtual reality headsets at schools</t>
  </si>
  <si>
    <t>Virtual reality; autism spectrum disorder; experiential learning; affective expression; social reciprocity</t>
  </si>
  <si>
    <t>EMOTION REGULATION; CHINESE VERSION; RECOGNITION; ADULTS; INTERVENTION; INDIVIDUALS; SKILLS; ENVIRONMENTS; ADOLESCENTS; EXPERIENCES</t>
  </si>
  <si>
    <t>Social-emotional deficits in school-aged children diagnosed with autism spectrum disorder (ASD) greatly hinder these children from fully participating in various school activities in the inclusive education setting. Previous studies have demonstrated evidence regarding the effectiveness of using virtual reality (VR) for enhancing the children's affective expression and social reciprocity. However, considering the technical and logistical complexity of the enabling hardware and software systems, how such approaches can be effectively and sustainably delivered in the school setting remains underexplored. This paper presents a study that utilised VR headsets to enhance affective expression and social reciprocity for children with ASD and explored how the approach could be effectively and sustainably delivered at schools. A total of eight VR learning scenarios were designed based on Kolb's experiential learning framework. 176 children aged 6-12 with a clinical diagnosis of ASD participated in the study. The statistical analyses showed that the participants who received the intervention significantly improved in affective expression and social reciprocity, compared to those who were in the control group. Moreover, the approaches to enhance long-term sustainability have also been presented and discussed in this paper.</t>
  </si>
  <si>
    <t>[Ip, Horace H. S.; Kon, Lo Lo; Ma, Po Ke; Lau, Kate S. Y.; Byrne, Julia] City Univ Hong Kong, Ctr Innovat Applicat Internet &amp; Multimedia Techno, Hong Kong, Peoples R China; [Wong, Simpson W. L.] UCL, Dept Language &amp; Cognit, London, England; [Chan, Dorothy F. Y.] Chinese Univ Hong Kong, Dept Paediat, Fac Med, Hong Kong, Peoples R China; [Li, Chen] Hong Kong Polytech Univ, Dept Comp, Hong Kong, Peoples R China</t>
  </si>
  <si>
    <t>City University of Hong Kong; University of London; University College London; Chinese University of Hong Kong; Hong Kong Polytechnic University</t>
  </si>
  <si>
    <t>Li, C (corresponding author), Hong Kong Polytech Univ, Dept Comp, Hong Kong, Peoples R China.</t>
  </si>
  <si>
    <t>richard-chen.li@polyu.edu.hk</t>
  </si>
  <si>
    <t>IP, Ho Shing Horace/0000-0002-1509-9002; Li, Chen/0000-0002-3782-0737</t>
  </si>
  <si>
    <t>Quality Education Fund, Hong Kong Special Administrative Region of the People's Republic of China [2016/0260]</t>
  </si>
  <si>
    <t>Quality Education Fund, Hong Kong Special Administrative Region of the People's Republic of China</t>
  </si>
  <si>
    <t>This project is funded by the Quality Education Fund, Hong Kong Special Administrative Region of the People's Republic of China (Project No.: 2016/0260).</t>
  </si>
  <si>
    <t>MAR 15</t>
  </si>
  <si>
    <t>10.1080/10494820.2022.2107681</t>
  </si>
  <si>
    <t>AUG 2022</t>
  </si>
  <si>
    <t>SP6B5</t>
  </si>
  <si>
    <t>WOS:000838013700001</t>
  </si>
  <si>
    <t>Smith, MJ; Sherwood, K; Ross, B; Oulvey, EA; Monahan, JA; Sipovic, JE; Atkins, MS; Danielson, EC; Jordan, N; Smith, JD</t>
  </si>
  <si>
    <t>Smith, Matthew J.; Sherwood, Kari; Ross, Brittany; Oulvey, Eugene A.; Monahan, Julie A.; Sipovic, Jessica E.; Atkins, Marc S.; Danielson, Elizabeth C.; Jordan, Neil; Smith, Justin D.</t>
  </si>
  <si>
    <t>Scaling Out Virtual Interview Training for Transition-Age Youth: A Quasi-Experimental Hybrid Effectiveness-Implementation Study</t>
  </si>
  <si>
    <t>CAREER DEVELOPMENT AND TRANSITION FOR EXCEPTIONAL INDIVIDUALS</t>
  </si>
  <si>
    <t>virtual reality; job interview training; employment; transition services; youth with disabilities</t>
  </si>
  <si>
    <t>JOB INTERVIEW; SECONDARY STUDENTS; SOCIAL-SKILLS; INDIVIDUALS; AUTISM; ADULTS; EMPLOYMENT; OUTCOMES; VIDEO</t>
  </si>
  <si>
    <t>In a previous randomized controlled trial (RCT), Virtual Interview Training for Transition Age Youth (VIT-TAY) enhanced employment for autistic youth receiving transition services. For this study, a nonrandomized hybrid effectiveness-implementation trial evaluated whether VIT-TAY maintained its core implementation and effectiveness functions when scaled out to students with disabilities in 32 schools. Also, we compared the implementation and effectiveness between VIT-TAY and Virtual Reality Job Interview Training (VR-JIT; developed for adults and previously evaluated in students with disabilities). Core implementation functions did not differ between VIT-TAY and VR-JIT. Greater engagement with either training was significantly associated with employment (both p &lt; .05). Overall, VIT-TAY was feasibly implemented with high adherence and may be effective at enhancing employment for students with disabilities. Limitations and implications for research and practice are discussed.</t>
  </si>
  <si>
    <t>[Smith, Matthew J.; Sherwood, Kari; Ross, Brittany] Univ Michigan, Ann Arbor, MI 48109 USA; [Oulvey, Eugene A.] Illinois Dept Human Serv, Div Rehabil Serv, Springfield, IL USA; [Monahan, Julie A.; Sipovic, Jessica E.] Chicago Publ Sch Off Diverse Learners Supports &amp;, Chicago, IL USA; [Atkins, Marc S.] Univ Illinois, Chicago, IL USA; [Danielson, Elizabeth C.; Jordan, Neil] Northwestern Univ, Feinberg Sch Med, Chicago, IL 60611 USA; [Jordan, Neil] Hines VA Hosp, Ctr Innovat Complex Chron Healthcare, Hines, IL USA; [Smith, Justin D.] Univ Utah, Salt Lake City, UT USA</t>
  </si>
  <si>
    <t>University of Michigan System; University of Michigan; University of Illinois System; University of Illinois Chicago; University of Illinois Chicago Hospital; Northwestern University; Feinberg School of Medicine; US Department of Veterans Affairs; Veterans Health Administration (VHA); Edward Hines Jr. VA Hospital; Utah System of Higher Education; University of Utah</t>
  </si>
  <si>
    <t>Smith, Matthew/ACM-2138-2022; Sherwood, Kari/KWU-1492-2024</t>
  </si>
  <si>
    <t>Sherwood, Kari/0000-0003-2157-2174; Smith, Matthew/0000-0002-0079-1477</t>
  </si>
  <si>
    <t>Kessler Foundation [1003-1958-SEG-FY2016]; National Center for Advancing Translational Sciences, National Institutes of Health [UL1TR002003]; National Institute on Drug Abuse, National Institutes of Health [P30DA027828]; National Institute on Disability, Independent Living, and Rehabilitation Research [90ARHF0003]; NIDILRR [90ARHF0003, 1098607] Funding Source: Federal RePORTER</t>
  </si>
  <si>
    <t>Kessler Foundation; National Center for Advancing Translational Sciences, National Institutes of Health(United States Department of Health &amp; Human ServicesNational Institutes of Health (NIH) - USANIH National Center for Advancing Translational Sciences (NCATS)); National Institute on Drug Abuse, National Institutes of Health(United States Department of Health &amp; Human ServicesNational Institutes of Health (NIH) - USANIH National Institute on Drug Abuse (NIDA)); National Institute on Disability, Independent Living, and Rehabilitation Research(United States Department of Health &amp; Human Services); NIDILRR(United States Department of Health &amp; Human Services)</t>
  </si>
  <si>
    <t>The author(s) disclosed receipt of the following financial support for the research, authorship, and/or publication of this article: This study was supported by grants from the Kessler Foundation (1003-1958-SEG-FY2016, PI: Matthew Smith). Marc S. Atkins was supported by the National Center for Advancing Translational Sciences, National Institutes of Health Grant UL1TR002003. Justin D. Smith was supported by the National Institute on Drug Abuse, National Institutes of Health Grant P30DA027828. The content is solely the responsibility of the authors and does not necessarily represent the official views of the Kessler Foundation and the National Institutes of Health. Elizabeth C. Danielson was supported by funding from the National Institute on Disability, Independent Living, and Rehabilitation Research (#90ARHF0003).</t>
  </si>
  <si>
    <t>2165-1434</t>
  </si>
  <si>
    <t>2165-1442</t>
  </si>
  <si>
    <t>CAREER DEV TRANSIT E</t>
  </si>
  <si>
    <t>Career Dev. Transit. Except. Individ.</t>
  </si>
  <si>
    <t>10.1177/21651434221081273</t>
  </si>
  <si>
    <t>5J8DR</t>
  </si>
  <si>
    <t>WOS:000771601000001</t>
  </si>
  <si>
    <t>Williams, RM; Alikhademi, K; Gilbert, JE</t>
  </si>
  <si>
    <t>Williams, Rua M.; Alikhademi, Kiana; Gilbert, Juan E.</t>
  </si>
  <si>
    <t>Design of a toolkit for real-time executive function assessment in custom-made virtual experiences and interventions</t>
  </si>
  <si>
    <t>INTERNATIONAL JOURNAL OF HUMAN-COMPUTER STUDIES</t>
  </si>
  <si>
    <t>Cognitive disability; Cognitive rehabilitation; Executive function; Virtual reality</t>
  </si>
  <si>
    <t>VALIDITY; TASK; IDENTIFICATION; RELIABILITY; PSYTOOLKIT; COGNITION; CHILDREN; DEFICITS; STROOP; ADULTS</t>
  </si>
  <si>
    <t>Virtual Reality (VR) and other game-like experiences are popular intervention platforms in neurocognitive rehabilitation research. Executive Functions (EF), the cognitive processes that regulate attention and goal oriented action, are recognized as a domain of concern in several congenital and acquired neurocognitive conditions (e.g.: ADHD, autism, addiction, cognitive decline, traumatic brain injury, and stroke). VR-based simulations of real-world tasks have shown potential for rehabilitation in independent functioning. The custom nature of such projects makes cross-intervention analysis difficult and complicates development of best practices. We have designed a toolkit for building virtual interactions that can consistently replicate traditional cognitive tests (such as the Wisconsin Card Sorting Task and Multitasking Task) as well as extend to more complex tasks in any virtual context. Analysis of participant performance data between traditional tasks and these VR replications may indicate the toolkit can successfully replicate traditional measures while also extending into more complex contexts.</t>
  </si>
  <si>
    <t>[Williams, Rua M.] Purdue Univ, W Lafayette, IN 47907 USA; [Alikhademi, Kiana; Gilbert, Juan E.] Univ Florida, Gainesville, FL 32611 USA</t>
  </si>
  <si>
    <t>Purdue University System; Purdue University; State University System of Florida; University of Florida</t>
  </si>
  <si>
    <t>Williams, RM (corresponding author), Purdue Univ, W Lafayette, IN 47907 USA.</t>
  </si>
  <si>
    <t>rmwilliams@purdue.edu; kalikhademi@ufl.edu; juan@ufl.edu</t>
  </si>
  <si>
    <t>Alikhademi, Kiana/GZL-8390-2022</t>
  </si>
  <si>
    <t>Williams, Rua/0000-0002-6182-8923; Gilbert, Juan/0000-0002-6801-2206</t>
  </si>
  <si>
    <t>ACADEMIC PRESS LTD- ELSEVIER SCIENCE LTD</t>
  </si>
  <si>
    <t>24-28 OVAL RD, LONDON NW1 7DX, ENGLAND</t>
  </si>
  <si>
    <t>1071-5819</t>
  </si>
  <si>
    <t>1095-9300</t>
  </si>
  <si>
    <t>INT J HUM-COMPUT ST</t>
  </si>
  <si>
    <t>Int. J. Hum.-Comput. Stud.</t>
  </si>
  <si>
    <t>10.1016/j.ijhcs.2021.102734</t>
  </si>
  <si>
    <t>Computer Science, Cybernetics; Ergonomics; Psychology, Multidisciplinary</t>
  </si>
  <si>
    <t>Computer Science; Engineering; Psychology</t>
  </si>
  <si>
    <t>0M6OM</t>
  </si>
  <si>
    <t>WOS:000782270600003</t>
  </si>
  <si>
    <t>Kumazaki, H; Yoshikawa, Y; Muramatsu, T; Haraguchi, H; Fujisato, H; Sakai, K; Matsumoto, Y; Ishiguro, H; Sumiyoshi, T; Mimura, M</t>
  </si>
  <si>
    <t>Kumazaki, Hirokazu; Yoshikawa, Yuichiro; Muramatsu, Taro; Haraguchi, Hideyuki; Fujisato, Hiroko; Sakai, Kazuki; Matsumoto, Yoshio; Ishiguro, Hiroshi; Sumiyoshi, Tomiki; Mimura, Masaru</t>
  </si>
  <si>
    <t>Group-Based Online Job Interview Training Program Using Virtual Robot for Individuals With Autism Spectrum Disorders</t>
  </si>
  <si>
    <t>autism spectrum disorders; COVID-19; online job interview; virtual robot; other's perspective</t>
  </si>
  <si>
    <t>COMMUNICATION DISORDERS; DIAGNOSTIC INTERVIEW; CHILDRENS VERSION; EYE CONTACT; ATTENTION; RELIABILITY; TRANSITION; SYMPTOMS; QUOTIENT; ADULTS</t>
  </si>
  <si>
    <t>The rapid expansion of online job interviews during the COVID-19 pandemic is expected to continue after the pandemic has subsided. These interviews are a significant barrier for individuals with autism spectrum disorders (ASD). There is little evidence-based training for online job interviews for individuals with ASD, and the development of new trainings is expected. In an effort to facilitate online job interview skill acquisition for individuals with ASD, we developed a group-based online job interview training program using a virtual robot (GOT). In GOT, the interviewer and interviewee are projected as virtual robots on the screen. Five participants were grouped and performed the role of interviewee, interviewer, and evaluator. The participants performed all roles in a random order. Each session consisted of a first job interview session, feedback session, and second job interview session. The participants experienced 25 sessions. Before and after GOT, the participants underwent a mock online job interview with a human professional interviewer (MOH) to evaluate the effect of GOT. In total, 15 individuals with ASD took part in the study. The GOT improved self-confidence, motivation, the understanding of others' perspectives, verbal competence, non-verbal competence, and interview performance scores. There was also a significant increase in the recognition of the importance of the point of view of interviewers and evaluators after the second MOH compared to after the first MOH. Using a VR robot and learning the importance of interview skills by experiencing other perspectives (i.e., viewpoint of interviewer and evaluator) may have sustained their motivation and enabled greater self-confidence. Given the promising results of this study and to draw definitive conclusions regarding the efficacy of virtual reality (VR) robots for mock online job interview training, further studies with larger, more diverse samples of individuals with ASD using a longitudinal design are warranted.</t>
  </si>
  <si>
    <t>[Kumazaki, Hirokazu; Haraguchi, Hideyuki; Fujisato, Hiroko; Sumiyoshi, Tomiki] Natl Inst Mental Hlth, Natl Ctr Neurol &amp; Psychiat, Dept Prevent Intervent Psychiat Disorders, Tokyo, Japan; [Kumazaki, Hirokazu; Matsumoto, Yoshio] Kanazawa Univ, Res Ctr Child Mental Dev, Dept Clin Res Social Recognit &amp; Memory, Kanazawa, Ishikawa, Japan; [Kumazaki, Hirokazu; Muramatsu, Taro; Mimura, Masaru] Keio Univ, Dept Neuropsychiat, Sch Med, Tokyo, Japan; [Yoshikawa, Yuichiro; Sakai, Kazuki; Ishiguro, Hiroshi] Osaka Univ, Grad Sch Engn Sci, Dept Syst Innovat, Osaka, Japan; [Matsumoto, Yoshio] Natl Inst Adv Ind Sci &amp; Technol, Intelligent Syst Inst, Serv Robot Res Grp, Tsukuba, Japan</t>
  </si>
  <si>
    <t>National Center for Neurology &amp; Psychiatry - Japan; Kanazawa University; Keio University; The University of Osaka; National Institute of Advanced Industrial Science &amp; Technology (AIST)</t>
  </si>
  <si>
    <t>Kumazaki, H (corresponding author), Natl Inst Mental Hlth, Natl Ctr Neurol &amp; Psychiat, Dept Prevent Intervent Psychiat Disorders, Tokyo, Japan.;Kumazaki, H (corresponding author), Kanazawa Univ, Res Ctr Child Mental Dev, Dept Clin Res Social Recognit &amp; Memory, Kanazawa, Ishikawa, Japan.;Kumazaki, H (corresponding author), Keio Univ, Dept Neuropsychiat, Sch Med, Tokyo, Japan.</t>
  </si>
  <si>
    <t>kumazaki@tiara.ocn.ne.jp</t>
  </si>
  <si>
    <t>Kumazaki, Hirokazu/AAO-2777-2021</t>
  </si>
  <si>
    <t>Fujisato, Hiroko/0009-0002-9715-2985; Kumazaki, Hirokazu/0000-0002-2567-0276</t>
  </si>
  <si>
    <t>Grants-in-Aid for Scientific Research [20K20857, 21H04418, 20H00101, 20H05575] Funding Source: KAKEN</t>
  </si>
  <si>
    <t>Grants-in-Aid for Scientific Research(Ministry of Education, Culture, Sports, Science and Technology, Japan (MEXT)Japan Society for the Promotion of ScienceGrants-in-Aid for Scientific Research (KAKENHI))</t>
  </si>
  <si>
    <t>JAN 24</t>
  </si>
  <si>
    <t>10.3389/fpsyt.2021.704564</t>
  </si>
  <si>
    <t>2C4US</t>
  </si>
  <si>
    <t>WOS:000810866000001</t>
  </si>
  <si>
    <t>Baker-Ericzén, MJ; Smith, L; Tran, A; Scarvie, K</t>
  </si>
  <si>
    <t>Baker-Ericzen, Mary J.; Smith, Lauren; Tran, Anh; Scarvie, Kathleen</t>
  </si>
  <si>
    <t>A Cognitive Behavioral Intervention for Driving for Autistic Teens and Adults: A Pilot Study</t>
  </si>
  <si>
    <t>AUTISM IN ADULTHOOD</t>
  </si>
  <si>
    <t>autism; teen; adults; driving anxiety intervention; cognitive behavioral therapy; executive functioning</t>
  </si>
  <si>
    <t>ATTENTION-DEFICIT HYPERACTIVITY; SPECTRUM DISORDER; VIRTUAL-REALITY; NOVICE DRIVERS; YOUNG-ADULTS; ANXIETY; PERFORMANCE; ADOLESCENTS; CHILDREN; THERAPY</t>
  </si>
  <si>
    <t>Background: For many autistic individuals approaching adulthood, interventions to promote skills toward independence are lacking. Driving is an important ability to cultivate as it may be a critical step to attaining independence, securing and maintaining work, and fostering relationships. Only about one third of able autistic individuals drive independently, and fear to drive is a common reason for not driving. Methods: This initial pilot study was a 3-month open trial to investigate the feasibility, acceptability, and initial estimates of outcomes for the newly developed Cognitive Behavioral Intervention for Driving (CBID) intervention, a manualized curriculum to enhance executive functioning (EF) and emotional regulation (ER) skill development for driving, combined with individualized commentary-based driving simulator practice, in autistic teens and adults within a community research environment. Nineteen participants received the CBID intervention in 1.5-hour group sessions for 10 weeks, across two cohorts, with approximately five individualized driving simulator sessions. Data were collected on anxiety symptoms, driving cognitions, driving attitudes, and simulated driving performance at pre- and post-intervention assessments. Results: Program completion rate was 81%. Participants and parents rated both the intervention and simulator practice sessions with high satisfaction. All the participants (100%) reported both a positive attitude change (interest toward driving) and a desire to drive in the future at the post-intervention assessment. Significant changes occurred for driving cognitions, attitudes, and behaviors, and 47% of participants obtained a driver's permit or license by 2 months post-intervention. Conclusions: For autistic individuals, the CBID intervention appeared to directly impact the pursuit toward driving goals by both increasing driving attitudes and behaviors and reducing anxiety/apprehension. This highlights the need for driving intervention programs designed specific to autistic teens/adults that focus on EF and ER skills coupled with individualized simulator practice. CBID could be provided in community services to increase the number of autistic individuals driving. Lay summary Why was this study done? Driving contributes greatly to independence in many teens and adults. Anxiety can act as a barrier to that independence by affecting driving attitudes, ability and performance. Autistic individuals are often affected by anxiety, executive functioning, and emotion regulation challenges. Previous studies show that virtual reality training and Cognitive Behavioral Therapy (CBT), separately, can reduce driving anxiety in autistic individuals and support driving skills. However, to date, no studies have developed and tested a manualized intervention specific to driving that combines such methods. What was the purpose of this study? The goal of this study was to develop and test a group intervention, called Cognitive Behavioral Intervention for Driving (CBID), combined with individualized, coached driving simulator practice to help reduce fears and increase cognitions, attitudes and performance towards driving. The study examined the following questions: 1) Do autistic individuals actively participate in CBID? 2) Do autistic participants like CBID? and 3) Are autistic participants more prepared to drive after taking part in CBID than they were before they participated in the program? What did the researchers do? After developing the CBID intervention with community member involvement, the researchers ran 2 intervention groups and individualized driving simulator sessions to a total of 19 enrolled participants. The group intervention focused on strengthening executive functioning and emotion regulation skills in 1.5 hour sessions over 10 weeks and 5, 1 hour driving simulator sessions. Researchers compared data on participant anxiety levels, driving cognitions, attitudes, and performance before and after the intervention. What were the results of the study? Most of the participants completed the program (81%) and all (100%) rated satisfaction with the group and simulator practice. All (100%) of the participants changed attitudes towards driving. Participants had higher levels of positive thoughts about driving, better attitudes towards wanting to drive and less driving errors (like speeding, collisions, crossing lanes) on the driving simulator after completing CBID. Almost half (47%) of participants obtained a driver's permit or license by 2 months after the intervention. What do these findings add to what was already known? This study adds a new option of an integrated approach, CBID, for addressing driving anxiety or apprehension. It provides initial findings of the value of incorporating executive functioning skills with traditional cognitive behavior therapy for enhancing driving readiness. What are the potential weaknesses in the study? This study contained a small sample size that was mostly white male participants. This limits generalizing the results to a representative diverse population. It also did not have a control group or use randomization which means that results can't be interpreted as causal at this time. There was no information about participants obtaining permit/licensure later than 2 months after CBID so it is unclear if some participants require more time to pursue a license. There was no follow up to understand if participants continued to feel comfortable driving overtime. How will these findings help autistic adults now or in the future? This study showed that it's possible to combine virtual reality training and Cognitive Behavioral Therapy into one driving readiness program. The new CBID program may help autistic adults by addressing multiple aspects of what they need to be ready to drive. Since the study used previously tested strategies, enrolled a community sample, manualized the program, and used a services approach, it was designed for broad distribution to other community settings.</t>
  </si>
  <si>
    <t>[Baker-Ericzen, Mary J.] San Diego State Univ, Dept Adm Rehabil &amp; Postsecondary Educ, Interwork Inst, San Diego, CA 92182 USA; [Baker-Ericzen, Mary J.; Tran, Anh; Scarvie, Kathleen] Rady Childrens Hosp San Diego, Child &amp; Adolescent Serv Res Ctr, 3020 Childrens Way MC 5033, San Diego, CA 92123 USA; [Smith, Lauren; Tran, Anh; Scarvie, Kathleen] Univ Calif San Diego, La Jolla, CA 92093 USA</t>
  </si>
  <si>
    <t>California State University System; San Diego State University; Rady Childrens Hospital San Diego; University of California System; University of California San Diego</t>
  </si>
  <si>
    <t>Baker-Ericzén, MJ (corresponding author), Rady Childrens Hosp San Diego, Child &amp; Adolescent Serv Res Ctr, 3020 Childrens Way MC 5033, San Diego, CA 92123 USA.</t>
  </si>
  <si>
    <t>mbakerericzen@sdsu.edu</t>
  </si>
  <si>
    <t>Tran, Anh/KCY-8639-2024</t>
  </si>
  <si>
    <t>2573-9581</t>
  </si>
  <si>
    <t>2573-959X</t>
  </si>
  <si>
    <t>AUTISM ADULTHOOD</t>
  </si>
  <si>
    <t>Autism Adulthood</t>
  </si>
  <si>
    <t>JUN 1</t>
  </si>
  <si>
    <t>10.1089/aut.2020.0009</t>
  </si>
  <si>
    <t>Psychology, Developmental; Rehabilitation</t>
  </si>
  <si>
    <t>SU4BH</t>
  </si>
  <si>
    <t>WOS:000663084700006</t>
  </si>
  <si>
    <t>Modugumudi, YR; Santhosh, J; Anand, S</t>
  </si>
  <si>
    <t>Modugumudi, Yogeswara Rao; Santhosh, Jayasree; Anand, Sneh</t>
  </si>
  <si>
    <t>Efficacy of Collaborative Virtual Environment Intervention Programs in Emotion Expression of Children with Autism</t>
  </si>
  <si>
    <t>JOURNAL OF MEDICAL IMAGING AND HEALTH INFORMATICS</t>
  </si>
  <si>
    <t>Collaborative Virtual Environment; Event Related Potential; Autism; Emotions; N170</t>
  </si>
  <si>
    <t>FACIAL EXPRESSION; SPATIAL ATTENTION; FACE PERCEPTION; TIME-COURSE; ERP; POTENTIALS; RESPONSES</t>
  </si>
  <si>
    <t>Exploratory empirical studies on Collaborative Virtual Environments (CVEs) were conducted to determine if children with autism could make basic emotional recognition effectively, with the use of CVEs as assistive technology. In this paper we report the results of electro-physiological study of two groups of autistic children after an intervention program with and without using Collaborative Virtual Environment. The group trained with CVE showed better results compared to the group trained without Collaborative virtual Environment. There is an emphasized early emotion expression positivity component at around 120 ms latency for CVE trained group which clearly distinguishes the CVE untrained group. Also there are differences observed in Event Related Potential component at about 170 ms latency after the stimulus. Results indicate that the Collaborative Virtual Environments are effective in training Autistic children.</t>
  </si>
  <si>
    <t>[Modugumudi, Yogeswara Rao; Anand, Sneh] Indian Inst Technol Delhi, Ctr Biomed Engn, New Delhi 110016, India; [Santhosh, Jayasree] Univ Malaya, Dept Biomed Engn, Kuala Lumpur 50603, Malaysia</t>
  </si>
  <si>
    <t>Indian Institute of Technology System (IIT System); Indian Institute of Technology (IIT) - Delhi; Universiti Malaya</t>
  </si>
  <si>
    <t>Santhosh, J (corresponding author), Univ Malaya, Dept Biomed Engn, Kuala Lumpur 50603, Malaysia.</t>
  </si>
  <si>
    <t>Santhosh, Jayasree/C-8808-2013</t>
  </si>
  <si>
    <t>Ministry of Social Justice, Government of India as part of National Institute research promotion</t>
  </si>
  <si>
    <t>This research work is done at National Institute for Mentally Handicapped and is funded by Ministry of Social Justice, Government of India as part of National Institute research promotion. The authors also thank various other departments that contributed for the success of this project.</t>
  </si>
  <si>
    <t>AMER SCIENTIFIC PUBLISHERS</t>
  </si>
  <si>
    <t>VALENCIA</t>
  </si>
  <si>
    <t>26650 THE OLD RD, STE 208, VALENCIA, CA 91381-0751 USA</t>
  </si>
  <si>
    <t>2156-7018</t>
  </si>
  <si>
    <t>2156-7026</t>
  </si>
  <si>
    <t>J MED IMAG HEALTH IN</t>
  </si>
  <si>
    <t>J. Med. Imaging Health Inform.</t>
  </si>
  <si>
    <t>10.1166/jmihi.2013.1167</t>
  </si>
  <si>
    <t>Mathematical &amp; Computational Biology; Radiology, Nuclear Medicine &amp; Medical Imaging</t>
  </si>
  <si>
    <t>194BD</t>
  </si>
  <si>
    <t>WOS:000322605100024</t>
  </si>
  <si>
    <t>Minissi, ME; Gómez-Zaragozá, L; Marín-Morales, J; Mantovani, F; Sirera, M; Abad, L; Cervera-Torres, S; Gómez-García, S; Giglioli, IAC; Alcañiz, M</t>
  </si>
  <si>
    <t>Minissi, Maria Eleonora; Gomez-Zaragoza, Lucia; Marin-Morales, Javier; Mantovani, Fabrizia; Sirera, Marian; Abad, Luis; Cervera-Torres, Sergio; Gomez-Garcia, Soledad; Giglioli, Irene Alice Chicchi; Alcaniz, Mariano</t>
  </si>
  <si>
    <t>The whole-body motor skills of children with autism spectrum disorder taking goal-directed actions in virtual reality</t>
  </si>
  <si>
    <t>autism spectrum disorder; children; motor skills; body tracking; virtual reality; virtual interaction</t>
  </si>
  <si>
    <t>DEVELOPMENTAL COORDINATION DISORDER; 2ND YEAR; MOVEMENT; INTERVENTION; ENVIRONMENTS; IMPAIRMENT; CLASSIFICATION; ADOLESCENTS; PERFORMANCE; ATTENTION</t>
  </si>
  <si>
    <t>Many symptoms of the autism spectrum disorder (ASD) are evident in early infancy, but ASD is usually diagnosed much later by procedures lacking objective measurements. It is necessary to anticipate the identification of ASD by improving the objectivity of the procedure and the use of ecological settings. In this context, atypical motor skills are reaching consensus as a promising ASD biomarker, regardless of the level of symptom severity. This study aimed to assess differences in the whole-body motor skills between 20 children with ASD and 20 children with typical development during the execution of three tasks resembling regular activities presented in virtual reality. The virtual tasks asked to perform precise and goal-directed actions with different limbs vary in their degree of freedom of movement. Parametric and non-parametric statistical methods were applied to analyze differences in children's motor skills. The findings endorsed the hypothesis that when particular goal-directed movements are required, the type of action could modulate the presence of motor abnormalities in ASD. In particular, the ASD motor abnormalities emerged in the task requiring to take with the upper limbs goal-directed actions with low degree of freedom. The motor abnormalities covered (1) the body part mainly involved in the action, and (2) further body parts not directly involved in the movement. Findings were discussed against the background of atypical prospective control of movements and visuomotor discoordination in ASD. These findings contribute to advance the understanding of motor skills in ASD while deepening ecological and objective assessment procedures based on VR.</t>
  </si>
  <si>
    <t>[Minissi, Maria Eleonora; Gomez-Zaragoza, Lucia; Marin-Morales, Javier; Cervera-Torres, Sergio; Giglioli, Irene Alice Chicchi; Alcaniz, Mariano] Univ Politecn Valencia, Inst Univ Invest Tecnol Ctr Ser Humano HUMAN Tech, Valencia, Spain; [Mantovani, Fabrizia] Univ Milano Bicocca, Ctr Studies Commun Sci Luigi Anolli CESCOM, Dept Human Sci Educ Riccardo Massa, Milan, Italy; [Sirera, Marian; Abad, Luis] Ctr Desarrollo Cognit, Red Cenit, Valencia, Spain; [Gomez-Garcia, Soledad] Univ Catolica Valencia, Fac Magisterio &amp; Ciencias Educ, Valencia, Spain</t>
  </si>
  <si>
    <t>Universitat Politecnica de Valencia; University of Milano-Bicocca; Universidad Catolica de Valencia San Vicente Martir</t>
  </si>
  <si>
    <t>Minissi, ME (corresponding author), Univ Politecn Valencia, Inst Univ Invest Tecnol Ctr Ser Humano HUMAN Tech, Valencia, Spain.</t>
  </si>
  <si>
    <t>meminiss@i3b.upv.es</t>
  </si>
  <si>
    <t>Mantovani, Fabrizia/AFM-7854-2022; Alcañiz, Mariano/CAG-6569-2022; Marin, Javier/AAL-1463-2020; Alcaniz, Mariano/I-9659-2016; Cervera Torres, Sergio/AAC-7168-2020</t>
  </si>
  <si>
    <t>Gomez-Zaragoza, Lucia/0000-0001-9885-2559; Gomez Garcia, Soledad/0000-0002-0181-8678; Alcaniz, Mariano/0000-0001-9207-0636; Cervera Torres, Sergio/0000-0003-1689-4654</t>
  </si>
  <si>
    <t>APR 6</t>
  </si>
  <si>
    <t>10.3389/fpsyg.2023.1140731</t>
  </si>
  <si>
    <t>D8RV4</t>
  </si>
  <si>
    <t>WOS:000971354800001</t>
  </si>
  <si>
    <t>Ji, CX; Yang, J</t>
  </si>
  <si>
    <t>Ji, Chaoxin; Yang, Jun</t>
  </si>
  <si>
    <t>Effects of Physical Exercise and Virtual Training on Visual Attention Levels in Children with Autism Spectrum Disorders</t>
  </si>
  <si>
    <t>BRAIN SCIENCES</t>
  </si>
  <si>
    <t>children with ASD; PE; VT; visual attention</t>
  </si>
  <si>
    <t>ASD</t>
  </si>
  <si>
    <t>This study compared the effects of physical exercise (PE) and virtual training (VT) on the improvement of the visual attention mechanism in children with autism spectrum disorders (ASD). One hundred eighty-nine children with ASD were recruited from Orphan School in Liaoning Province, China. After screening, 100 children ultimately participated in the experiment. Children with ASD were randomly assigned to VT (VT, n = 34), PE (PE, n = 33) and control group (CG, n = 33). The VT group experiment was performed in a virtual environment through the game FIFA21 three times per week for 6 weeks. The PE group played physical football matches three times per week for 6 weeks. Children with ASD in the CG group did not receive VT or PE but only received psychological counseling. Visual attention of children with ASD is evaluated by using the multiple object tracking paradigm (MOT). After 6 weeks of observation, although none of the three groups saw improvements in the correct rate of ring tracking, the observations of the VT and PE groups were significant (p &lt; 0.05) compared to the CG group in finding detection rate of probe stimulus. Through MOT tests, VT and PE improved the detection rate of probe stimulus in children with ASD. Therefore, this paper indicates that VT and PE can improve the visual attention ability of children with ASD.</t>
  </si>
  <si>
    <t>[Ji, Chaoxin] Northeastern Univ, Dept PE, Shenyang 110819, Peoples R China; [Yang, Jun] Northeastern Univ, Coll Informat Sci &amp; Engn, Shenyang 110819, Peoples R China</t>
  </si>
  <si>
    <t>Northeastern University - China; Northeastern University - China</t>
  </si>
  <si>
    <t>Ji, CX (corresponding author), Northeastern Univ, Dept PE, Shenyang 110819, Peoples R China.</t>
  </si>
  <si>
    <t>jichaoxin@pe.neu.edu.cn; yangjun@mail.neu.edu.cn</t>
  </si>
  <si>
    <t>Yang, Jun/AFA-0399-2022</t>
  </si>
  <si>
    <t>Yang, Jun/0000-0003-0599-1416; Ji, Chaoxin/0000-0003-3817-2257</t>
  </si>
  <si>
    <t>2076-3425</t>
  </si>
  <si>
    <t>BRAIN SCI</t>
  </si>
  <si>
    <t>Brain Sci.</t>
  </si>
  <si>
    <t>10.3390/brainsci12010041</t>
  </si>
  <si>
    <t>YN2IY</t>
  </si>
  <si>
    <t>WOS:000747088000001</t>
  </si>
  <si>
    <t>Streuli, S; Ibrahim, N; Mohamed, A; Sharma, M; Esmailian, M; Sezan, I; Farrell, C; Sawyer, M; Meyer, D; El-Maleh, K; Thamman, R; Marchetti, A; Lincoln, A; Courchesne, E; Sahid, A; Bhavnani, SP</t>
  </si>
  <si>
    <t>Streuli, Samantha; Ibrahim, Najla; Mohamed, Alia; Sharma, Manupriya; Esmailian, Markie; Sezan, Ibrahim; Farrell, Carrie; Sawyer, Mark; Meyer, Dan; El-Maleh, Khaled; Thamman, Ritu; Marchetti, Alex; Lincoln, Alan; Courchesne, Eric; Sahid, Ahmed; Bhavnani, Sanjeev P.</t>
  </si>
  <si>
    <t>Development of a culturally and linguistically sensitive virtual reality educational platform to improve vaccine acceptance within a refugee population: the SHIFA community engagement-public health innovation programme</t>
  </si>
  <si>
    <t>BMJ OPEN</t>
  </si>
  <si>
    <t>paediatric infectious disease &amp; immunisation; qualitative research; community child health</t>
  </si>
  <si>
    <t>AUTISM SPECTRUM DISORDER; UNITED-STATES; PREVALENCE; SOMALI</t>
  </si>
  <si>
    <t>Objectives To combat misinformation, engender trust and increase health literacy, we developed a culturally and linguistically appropriate virtual reality (VR) vaccination education platform using community-engaged approaches within a Somali refugee community. Design Community-based participatory research (CBPR) methods including focus group discussions, interviews, and surveys were conducted with Somali community members and expert advisors to design the educational content. Co-design approaches with community input were employed in a phased approach to develop the VR storyline. Participants 60 adult Somali refugees and seven expert advisors who specialise in healthcare, autism research, technology development and community engagement. Setting Somali refugees participated at the offices of a community-based organisation, Somali Family Service, in San Diego, California and online. Expert advisors responded to surveys virtually. Results We find that a CBPR approach can be effectively used for the co-design of a VR educational programme. Additionally, cultural and linguistic sensitivities can be incorporated within a VR educational programme and are essential factors for effective community engagement. Finally, effective VR utilisation requires flexibility so that it can be used among community members with varying levels of health and technology literacy. Conclusion We describe using community co-design to create a culturally and linguistically sensitive VR experience promoting vaccination within a refugee community. Our approach to VR development incorporated community members at each step of the process. Our methodology is potentially applicable to other populations where cultural sensitivities and language are common health education barriers.</t>
  </si>
  <si>
    <t>[Streuli, Samantha] Univ Calif San Diego, Dept Anthropol, La Jolla, CA 92093 USA; [Ibrahim, Najla] Somali Family Serv San Diego, Dept Hlth &amp; Wellness, San Diego, CA USA; [Mohamed, Alia] San Diego State Univ, Dept Biol, San Diego, CA 92182 USA; [Sharma, Manupriya] Palomar Coll, Dept Phys &amp; Engn, San Marcos, CA USA; [Esmailian, Markie] IllumeSense, San Diego, CA USA; [Sezan, Ibrahim] Distinct Insights, San Diego, CA USA; [Farrell, Carrie] San Diego State Univ, Sch Publ Affairs, San Diego, CA 92182 USA; [Sawyer, Mark] Univ Calif San Diego, Sch Med, Dept Pediat, La Jolla, CA 92093 USA; [Meyer, Dan] Univ Texas Southwestern Med Ctr Dallas, Dept Cardiovasc &amp; Thorac Surg, Dallas, TX 75390 USA; [El-Maleh, Khaled] QUALCOMM, San Diego, CA USA; [Thamman, Ritu] Univ Pittsburgh, Dept Med, Pittsburgh, PA USA; [Marchetti, Alex] Miami Univ, Farmer Sch Business, Oxford, OH 45056 USA; [Lincoln, Alan] Alliant Int Univ San Diego, Dept Clin Psychol, San Diego, CA USA; [Courchesne, Eric] Univ Calif San Diego, Sch Med, Dept Neurosci, La Jolla, CA 92093 USA; [Sahid, Ahmed] Somali Family Serv San Diego, San Diego, CA USA; [Bhavnani, Sanjeev P.] Scripps Clin La Jolla, Healthcare Innovat &amp; Practice Transformat Lab, Genesee Execut Plaza, San Diego, CA USA</t>
  </si>
  <si>
    <t>University of California System; University of California San Diego; California State University System; San Diego State University; California State University System; San Diego State University; University of California System; University of California San Diego; University of Texas System; University of Texas Southwestern Medical Center Dallas; Qualcomm; Pennsylvania Commonwealth System of Higher Education (PCSHE); University of Pittsburgh; University System of Ohio; Miami University; Alliant International University; University of California System; University of California San Diego</t>
  </si>
  <si>
    <t>Streuli, S (corresponding author), Univ Calif San Diego, Dept Anthropol, La Jolla, CA 92093 USA.</t>
  </si>
  <si>
    <t>sstreuli@ucsd.edu</t>
  </si>
  <si>
    <t>Thamman, Ritu/AAE-3690-2020</t>
  </si>
  <si>
    <t>Streuli, Samantha/0000-0003-1205-7605</t>
  </si>
  <si>
    <t>Alliance Healthcare Foundation [18-34728477]</t>
  </si>
  <si>
    <t>Alliance Healthcare Foundation</t>
  </si>
  <si>
    <t>Alliance Healthcare Foundation Grant #18-34728477.</t>
  </si>
  <si>
    <t>BMJ PUBLISHING GROUP</t>
  </si>
  <si>
    <t>BRITISH MED ASSOC HOUSE, TAVISTOCK SQUARE, LONDON WC1H 9JR, ENGLAND</t>
  </si>
  <si>
    <t>2044-6055</t>
  </si>
  <si>
    <t>BMJ Open</t>
  </si>
  <si>
    <t>e051184</t>
  </si>
  <si>
    <t>10.1136/bmjopen-2021-051184</t>
  </si>
  <si>
    <t>UU1TY</t>
  </si>
  <si>
    <t>WOS:000698586600050</t>
  </si>
  <si>
    <t>Miller, IT; Miller, CS; Wiederhold, MD; Wiederhold, BK</t>
  </si>
  <si>
    <t>Miller, Ian T.; Miller, Catherine S.; Wiederhold, Mark D.; Wiederhold, Brenda K.</t>
  </si>
  <si>
    <t>Virtual Reality Air Travel Training Using Apple iPhone X and Google Cardboard: A Feasibility Report with Autistic Adolescents and Adults</t>
  </si>
  <si>
    <t>autism spectrum disorder; adults; virtual reality; air travel; mobile; community integration</t>
  </si>
  <si>
    <t>SPECTRUM DISORDERS; UNITED-STATES; CHILDREN; ACCESS; SKILLS; CARE</t>
  </si>
  <si>
    <t>Rapid rises in autism diagnoses are increasing the demand for effective services and straining service providers. When individuals on the autism spectrum turn 18, they are faced with even greater barriers to services, since many services are delivered in school settings. Thus, there is a need for more accessible tools that teach daily life and communication skills to autistic adolescents and young adults. The current project reports findings from a pilot study using virtual reality (VR) to teach air travel skills to autistic young adults. The authors repurposed a virtual airport environment previously used to treat fear of flying for this study. Seven participants on the autism spectrum viewed a 5-minute virtual airport simulation with an overlaid narrative script using an iPhone X (R) and Google Cardboard (R) device once per week for 3 weeks. Researchers collected measures of attentiveness, language function, activity comprehension, and clinical observations on how participants interacted with the technology. Analyses revealed improvements in attentiveness, certain language functions such as labeling vocabulary, and activity comprehension in most participants. Clinical observations revealed acceptability of this technology and its capability to serve as an appealing media to deliver interventions. Thus, it is feasible to apply mobile VR trainings with autistic adolescents and young adults. We discuss ways to improve the pedagogical approach of VR-enhanced interventions in light of these findings. In the future, we plan to develop and test more virtual environments that address the needs of young adults on the autism spectrum, such as interview training and independent living skills.</t>
  </si>
  <si>
    <t>[Miller, Ian T.; Wiederhold, Brenda K.] Autism Ctr Excellence, Interact Media Inst, San Diego, CA USA; [Miller, Catherine S.] Speech Tree Therapy Ctr, Chula Vista, CA USA; [Wiederhold, Mark D.; Wiederhold, Brenda K.] Virtual Real Med Ctr, La Jolla, CA USA</t>
  </si>
  <si>
    <t>Miller, IT (corresponding author), Autism Ctr Excellence, Interact Media Inst, 9834 Genesee Ave,Suite 427, La Jolla, CA 92037 USA.</t>
  </si>
  <si>
    <t>ian@interactivemediainstitute.com</t>
  </si>
  <si>
    <t>Community ConNext; Northeast Arc</t>
  </si>
  <si>
    <t>The authors would like to thank Community ConNext for their support of this study as well as The Northeast Arc for funding this research program.</t>
  </si>
  <si>
    <t>10.1089/aut.2019.0076</t>
  </si>
  <si>
    <t>VK7MQ</t>
  </si>
  <si>
    <t>WOS:000751271400009</t>
  </si>
  <si>
    <t>Babu, PRK; Lahiri, U</t>
  </si>
  <si>
    <t>Krishnappa Babu, Pradeep Raj; Lahiri, Uttama</t>
  </si>
  <si>
    <t>Multiplayer Interaction Platform With Gaze Tracking for Individuals With Autism</t>
  </si>
  <si>
    <t>Task analysis; Graphical user interfaces; Rail transportation; Microsoft Windows; Autism; Boats; Touch sensitive screens; Multiplayer social interaction; autism; eye-tracking; fixation duration; fixation frequency</t>
  </si>
  <si>
    <t>SPECTRUM DISORDERS; CHILDREN; SKILLS</t>
  </si>
  <si>
    <t>Deficits in interpersonal communication along with difficulty in putting oneself into the shoes of others characterizes individuals with Autism Spectrum Disorder (ASD). Additionally, they exhibit atypical looking pattern causing them to miss aspects related to understanding other's preference for a context that is crucial for effective social communication. Prior research studies show the use of multiplayer platforms can improve interaction among these individuals. However, these multiplayer platforms do not demand players to understand each other's preference, important for effective social interaction. In this work, we have developed a multiplayer interaction platform using virtual reality augmented with eye-tracking technology. Thirty-six participants comprising of individuals with ASD (n = 18; Group(ASD)) and typically developing (TD) individuals (n = 18; Group(TD)) interacted in pairs within each participant group using our platform. Results indicate that both Group(ASD) and Group(TD) showed improvement in performance across the tasks with the Group(TD) performing better than the Group(ASD). Additionally, the eye-gaze data indicated an underlying relationship between one's looking pattern and task performance that was differentiated between the Group(ASD) and Group(TD). The current results indicate a potential of our multiplayer interaction platform to serve as a complementary tool in the hands of the interventionist promoting social reciprocity and interaction among individuals with ASD.</t>
  </si>
  <si>
    <t>[Krishnappa Babu, Pradeep Raj] Duke Univ, Pratt Sch Engn, Elect &amp; Comp Sci Engn, Durham, NC 27708 USA; [Lahiri, Uttama] Indian Inst Technol Gandhinagar, Elect Engn Dept, Gandhinagar 382355, India</t>
  </si>
  <si>
    <t>Duke University; Indian Institute of Technology System (IIT System); Indian Institute of Technology (IIT) - Gandhinagar</t>
  </si>
  <si>
    <t>Babu, PRK (corresponding author), Duke Univ, Pratt Sch Engn, Elect &amp; Comp Sci Engn, Durham, NC 27708 USA.</t>
  </si>
  <si>
    <t>pradeep.rj1@gmail.com; uttamalahiri@iitgn.ac.in</t>
  </si>
  <si>
    <t>Babu, Pradeep/AAK-1536-2021</t>
  </si>
  <si>
    <t>LAHIRI, UTTAMA/0000-0002-0607-5404</t>
  </si>
  <si>
    <t>Visvesveraya Ph.D. Scheme, Ministry of Electronics and Information Technology (MeitY), Government of India [MEITY-PHD-245]</t>
  </si>
  <si>
    <t>Visvesveraya Ph.D. Scheme, Ministry of Electronics and Information Technology (MeitY), Government of India</t>
  </si>
  <si>
    <t>This work was supported by the Visvesveraya Ph.D. Scheme, Ministry of Electronics and Information Technology (MeitY), Government of India, under Grant MEITY-PHD-245.</t>
  </si>
  <si>
    <t>10.1109/TNSRE.2020.3026655</t>
  </si>
  <si>
    <t>OR1SO</t>
  </si>
  <si>
    <t>WOS:000589256200010</t>
  </si>
  <si>
    <t>Gallup, J; Serianni, B</t>
  </si>
  <si>
    <t>Gallup, Jennifer; Serianni, Barbara</t>
  </si>
  <si>
    <t>Developing Friendships and an Awareness of Emotions Using Video Games: Perceptions of Four Young Adults with Autism</t>
  </si>
  <si>
    <t>FUNCTIONING AUTISM; ASPERGERS SYNDROME; CHILDREN; ADOLESCENTS</t>
  </si>
  <si>
    <t>This article explores emotional expression and awareness in the context of a virtual environment specific to young adults with autism spectrum disorder (ASD) and how emotional awareness and expression can support postsecondary outcomes. A qualitative study was conducted with five young adults with ASD who actively played a massively multiplayer online role playing game (MMORPG) in a virtual environment. All participants were enrolled in a large urban university where interviews were conducted in the campus library. One of the most significant findings was related to the emotional awareness and expression of the participants. Advancements in virtual environments hold the potential to support social skills, friendship development, and emotional awareness and expression that will ultimately increase successful transitions through the development of support networks such as friendships and work-related relationships.</t>
  </si>
  <si>
    <t>[Gallup, Jennifer] Idaho State Univ, Pocatello, ID 83209 USA; [Serianni, Barbara] Armstrong State Univ, Savannah, GA USA</t>
  </si>
  <si>
    <t>Idaho State University; University System of Georgia; Armstrong Atlantic State University</t>
  </si>
  <si>
    <t>galljenn@isu.edu</t>
  </si>
  <si>
    <t>Serianni, Barbara/KHZ-8602-2024</t>
  </si>
  <si>
    <t>EV1GZ</t>
  </si>
  <si>
    <t>WOS:000401496000002</t>
  </si>
  <si>
    <t>Zhu, HP; Sun, YR; Zeng, JH; Sun, HY</t>
  </si>
  <si>
    <t>Zhu, Huaping; Sun, Yaoru; Zeng, Jinhua; Sun, Hongyu</t>
  </si>
  <si>
    <t>Mirror neural training induced by virtual reality in brain-computer interfaces may provide a promising approach for the autism therapy</t>
  </si>
  <si>
    <t>MEDICAL HYPOTHESES</t>
  </si>
  <si>
    <t>SPECTRUM DISORDERS; SYSTEM; INTENTIONS; CHILDREN</t>
  </si>
  <si>
    <t>Previous studies have suggested that the dysfunction of the human mirror neuron system (hMNS) plays an important role in the autism spectrum disorder (ASD). In this work, we propose a novel training program from our interdisciplinary research to improve mirror neuron functions of autistic individuals by using a BCI system with virtual reality technology. It is a promising approach for the autism to learn and develop social communications in a VR environment. A test method for this hypothesis is also provided. (C) 2011 Elsevier Ltd. All rights reserved.</t>
  </si>
  <si>
    <t>[Zhu, Huaping; Sun, Yaoru; Zeng, Jinhua; Sun, Hongyu] Tongji Univ, Dept Comp Sci &amp; Technol, Shanghai 200092, Peoples R China</t>
  </si>
  <si>
    <t>Tongji University</t>
  </si>
  <si>
    <t>Sun, YR (corresponding author), Tongji Univ, Dept Comp Sci &amp; Technol, CaoAn Rd 4800, Shanghai 200092, Peoples R China.</t>
  </si>
  <si>
    <t>8zhuhuaping@tongji.edu.cn; yaoru@tongji.edu.cn; Omrzeng@tongji.edu.cn; 6hongyusun@tongji.edu.cn</t>
  </si>
  <si>
    <t>National Natural Science Foundation of China [60775019, 60970062]; Shanghai Pujiang Program [09PJ1410200]; Science and Technology Commission of Shanghai Municipality [09511502500]</t>
  </si>
  <si>
    <t>National Natural Science Foundation of China(National Natural Science Foundation of China (NSFC)); Shanghai Pujiang Program(Shanghai Pujiang Program); Science and Technology Commission of Shanghai Municipality(Science &amp; Technology Commission of Shanghai Municipality (STCSM))</t>
  </si>
  <si>
    <t>This work was supported by the Grants from the National Natural Science Foundation of China (60775019 and 60970062); the Shanghai Pujiang Program (09PJ1410200) and the Science and Technology Commission of Shanghai Municipality (09511502500).</t>
  </si>
  <si>
    <t>CHURCHILL LIVINGSTONE</t>
  </si>
  <si>
    <t>EDINBURGH</t>
  </si>
  <si>
    <t>JOURNAL PRODUCTION DEPT, ROBERT STEVENSON HOUSE, 1-3 BAXTERS PLACE, LEITH WALK, EDINBURGH EH1 3AF, MIDLOTHIAN, SCOTLAND</t>
  </si>
  <si>
    <t>0306-9877</t>
  </si>
  <si>
    <t>MED HYPOTHESES</t>
  </si>
  <si>
    <t>Med. Hypotheses</t>
  </si>
  <si>
    <t>10.1016/j.mehy.2011.01.022</t>
  </si>
  <si>
    <t>757KT</t>
  </si>
  <si>
    <t>WOS:000290084600010</t>
  </si>
  <si>
    <t>Cerasa, A; Gaggioli, A; Pioggia, G; Riva, G</t>
  </si>
  <si>
    <t>Cerasa, Antonio; Gaggioli, Andrea; Pioggia, Giovanni; Riva, Giuseppe</t>
  </si>
  <si>
    <t>Metaverse in Mental Health: The Beginning of a Long History</t>
  </si>
  <si>
    <t>CURRENT PSYCHIATRY REPORTS</t>
  </si>
  <si>
    <t>Metaverse; Predictive coding; Social brain; Brain-to-brain synchrony; Eating disorders; Sexual disorders; Autism spectrum disorders</t>
  </si>
  <si>
    <t>VIRTUAL-REALITY; GROUP-THERAPY; NEUROSCIENCE; BODY</t>
  </si>
  <si>
    <t>Purpose of Review We review the first pilot studies applying metaverse-related technologies in psychiatric patients and discuss the rationale for using this complex federation of technologies to treat mental diseases. Concerning previous virtual-reality applications in medical care, metaverse technologies provide the unique opportunity to define, control, and shape virtual scenarios shared by multi-users to exploit the synchronized brains potential exacerbated by social interactions.Recent Findings The application of an avatar-based sexual therapy program conducted on a metaverse platform has been demonstrated to be more effective concerning traditional sexual coaching for treating female orgasm disorders. Again, a metaverse-based social skills training program has been tested on children with autism spectrum disorders, demonstrating a significant impact on social interaction abilities.Summary Metaverse-related technologies could enable us to develop new reliable approaches for treating diseases where behavioral symptoms can be addressed using socio-attentive tasks and social-interaction strategies.</t>
  </si>
  <si>
    <t>[Cerasa, Antonio; Pioggia, Giovanni] Inst Biomed Res &amp; Innovat, Natl Res Council, IRIB CNR, I-98164 Messina, Italy; [Cerasa, Antonio] S Anna Inst, I-88900 Crotone, Italy; [Cerasa, Antonio] Univ Calabria, Dept Pharm Hlth Sci &amp; Nutr, Pharmacotechnol Documentat &amp; Transfer Unit, Preclin &amp; Translat Pharmacol, I-87036 Arcavacata Di Rende, Italy; [Gaggioli, Andrea] Catholic Univ Milan, Res Ctr Commun Psychol, Milan, Italy; [Gaggioli, Andrea; Riva, Giuseppe] IRCCS Ist Auxol Italiano, Appl Technol Neuropsychol Lab, Milan, Italy; [Riva, Giuseppe] Catholic Univ Milan, Humane Technol Lab, Largo Gemelli 1, I-20123 Milan, Italy</t>
  </si>
  <si>
    <t>University of Calabria; Catholic University of the Sacred Heart; IRCCS Istituto Auxologico Italiano; Catholic University of the Sacred Heart</t>
  </si>
  <si>
    <t>Cerasa, A (corresponding author), Inst Biomed Res &amp; Innovat, Natl Res Council, IRIB CNR, I-98164 Messina, Italy.;Cerasa, A (corresponding author), S Anna Inst, I-88900 Crotone, Italy.;Cerasa, A (corresponding author), Univ Calabria, Dept Pharm Hlth Sci &amp; Nutr, Pharmacotechnol Documentat &amp; Transfer Unit, Preclin &amp; Translat Pharmacol, I-87036 Arcavacata Di Rende, Italy.;Riva, G (corresponding author), IRCCS Ist Auxol Italiano, Appl Technol Neuropsychol Lab, Milan, Italy.;Riva, G (corresponding author), Catholic Univ Milan, Humane Technol Lab, Largo Gemelli 1, I-20123 Milan, Italy.</t>
  </si>
  <si>
    <t>antonio.cerasa76@gmail.com; giuseppe.riva@unicatt.it</t>
  </si>
  <si>
    <t>Pioggia, Giovanni/C-8119-2016; Gaggioli, Andrea/B-4643-2013; Riva, Giuseppe/C-5917-2008; cerasa, antonio/E-8614-2011</t>
  </si>
  <si>
    <t>Riva, Giuseppe/0000-0003-3657-106X; Gaggioli, Andrea/0000-0001-7818-7598; cerasa, antonio/0000-0002-8022-4770</t>
  </si>
  <si>
    <t>Universit Cattolica del Sacro Cuore</t>
  </si>
  <si>
    <t>No Statement Available</t>
  </si>
  <si>
    <t>1523-3812</t>
  </si>
  <si>
    <t>1535-1645</t>
  </si>
  <si>
    <t>CURR PSYCHIAT REP</t>
  </si>
  <si>
    <t>Curr. Psychiatry Rep.</t>
  </si>
  <si>
    <t>10.1007/s11920-024-01501-8</t>
  </si>
  <si>
    <t>APR 2024</t>
  </si>
  <si>
    <t>SX9O0</t>
  </si>
  <si>
    <t>WOS:001200373200001</t>
  </si>
  <si>
    <t>Wu, XS; Deng, HY; Jian, SY; Chen, HA; Li, Q; Gong, RY; Wu, JS</t>
  </si>
  <si>
    <t>Wu, Xuesen; Deng, Haiyin; Jian, Shiyun; Chen, Huian; Li, Qing; Gong, Ruiyu; Wu, Jingsong</t>
  </si>
  <si>
    <t>Global trends and hotspots in the digital therapeutics of autism spectrum disorders: a bibliometric analysis from 2002 to 2022</t>
  </si>
  <si>
    <t>autism; digital therapeutics; CiteSpace; bibliometrics; knowledge mapping</t>
  </si>
  <si>
    <t>VIRTUAL-REALITY SYSTEM; PRESCHOOLERS; CHILDREN; STATEMENT; MEDICINE</t>
  </si>
  <si>
    <t>IntroductionAutism spectrum disorder (ASD) is a severe neurodevelopmental disorder that has become a major cause of disability in children. Digital therapeutics (DTx) delivers evidence-based therapeutic interventions to patients that are driven by software to prevent, manage, or treat a medical disorder or disease. This study objectively analyzed the current research status of global DTx in ASD from 2002 to 2022, aiming to explore the current global research status and trends in the field. MethodsThe Web of Science database was searched for articles about DTx in ASD from January 2002 to October 2022. CiteSpace was used to analyze the co-occurrence of keywords in literature, partnerships between authors, institutions, and countries, the sudden occurrence of keywords, clustering of keywords over time, and analysis of references, cited authors, and cited journals. ResultsA total of 509 articles were included. The most productive country and institution were the United States and Vanderbilt University. The largest contributing authors were Warren, Zachary, and Sarkar, Nilanjan. The most-cited journal was the Journal of Autism and Developmental Disorders. The most-cited and co-cited articles were Brian Scarselati (Robots for Use in Autism Research, 2012) and Ralph Adolphs (Abnormal processing of social information from faces in autism, 2001). Artificial Intelligence, machine learning, Virtual Reality, and eye tracking were common new and cutting-edge trends in research on DTx in ASD. DiscussionThe use of DTx in ASD is developing rapidly and gaining the attention of researchers worldwide. The publications in this field have increased year by year, mainly concentrated in the developed countries, especially in the United States. Both Vanderbilt University and Yale University are very important institutions in the field. The researcher from Vanderbilt University, Warren and Zachary, his dynamics or achievements in the field is also more worth our attention. The application of new technologies such as virtual reality, machine learning, and eye-tracking in this field has driven the development of DTx on ASD and is currently a popular research topic. More cross-regional and cross-disciplinary collaborations are recommended to advance the development and availability of DTx.</t>
  </si>
  <si>
    <t>[Wu, Xuesen; Deng, Haiyin; Jian, Shiyun; Chen, Huian; Li, Qing; Gong, Ruiyu; Wu, Jingsong] Fujian Univ Tradit Chinese Med, Coll Rehabil Med, Fuzhou, Fujian, Peoples R China; [Wu, Jingsong] Fujian Univ Tradit Chinese Med, Innovat &amp; Transformat Ctr, Fuzhou, Fujian, Peoples R China</t>
  </si>
  <si>
    <t>Fujian University of Traditional Chinese Medicine; Fujian University of Traditional Chinese Medicine</t>
  </si>
  <si>
    <t>Wu, JS (corresponding author), Fujian Univ Tradit Chinese Med, Coll Rehabil Med, Fuzhou, Fujian, Peoples R China.;Wu, JS (corresponding author), Fujian Univ Tradit Chinese Med, Innovat &amp; Transformat Ctr, Fuzhou, Fujian, Peoples R China.</t>
  </si>
  <si>
    <t>jingsongwu01@163.com</t>
  </si>
  <si>
    <t>Wu, Xuesen/0000-0002-0828-3223; Wu, Jingsong/0000-0001-6544-2553</t>
  </si>
  <si>
    <t>MAY 15</t>
  </si>
  <si>
    <t>10.3389/fpsyt.2023.1126404</t>
  </si>
  <si>
    <t>H3GN9</t>
  </si>
  <si>
    <t>WOS:000994885300001</t>
  </si>
  <si>
    <t>Chen, JY; Hu, JL; Zhang, K; Zeng, X; Ma, YH; Lu, WR; Zhang, K; Wang, GS</t>
  </si>
  <si>
    <t>Chen, Jingying; Hu, Junlin; Zhang, Kun; Zeng, Xiao; Ma, Yuhao; Lu, Wenrui; Zhang, Kai; Wang, Guangshuai</t>
  </si>
  <si>
    <t>Virtual reality enhances the social skills of children with autism spectrum disorder: a review</t>
  </si>
  <si>
    <t>Autism spectrum disorder; virtual reality; social skills; intervention</t>
  </si>
  <si>
    <t>DESIGN; SYSTEM; INTERVENTION; TECHNOLOGY; PEOPLE</t>
  </si>
  <si>
    <t>Virtual reality (VR) technology has shown great potential on intervention of social skills for children with autism spectrum disorder (ASD). This review aimed to review the application of VR in current social skills intervention targeting autistic children and evaluate its effect. After searching and screening three databases, we found 20 papers on interventions for children with ASD using VR technology, including three studies of social communication, six studies about social-emotional reciprocity, nine studies on social interaction, and eight studies of on social cognition. First, concerning the age of the children involved in the interventions, we found that VR devices were more suitable for children with ASD who were older. Second, regarding VR devices, we recommend laptop VR devices based on the cost, non-invasiveness, and effectiveness of their use in interventions. The VR application form of game is more advisable. More importantly, for the design of the VR intervention, based on the adoption article, we found that using a single participant worked better. This research presents the overall effects and limitations of this literature as well as implications for future work.</t>
  </si>
  <si>
    <t>[Chen, Jingying; Hu, Junlin; Zhang, Kun; Zeng, Xiao; Ma, Yuhao; Lu, Wenrui; Zhang, Kai; Wang, Guangshuai] Cent China Normal Univ, Fac Artificial Intelligence Educ, Natl Engn Res Ctr Elearning, Wuhan, Peoples R China; [Chen, Jingying; Hu, Junlin; Zhang, Kun; Zeng, Xiao; Ma, Yuhao; Lu, Wenrui; Zhang, Kai] Cent China Normal Univ, Fac Artificial Intelligence Educ, Natl Engn Lab Educ Big Data, Wuhan, Peoples R China; [Wang, Guangshuai] Wuhan Univ, Sch Comp Sci, Wuhan, Peoples R China</t>
  </si>
  <si>
    <t>Central China Normal University; Central China Normal University; Wuhan University</t>
  </si>
  <si>
    <t>Zhang, K; Wang, GS (corresponding author), Cent China Normal Univ, Fac Artificial Intelligence Educ, Natl Engn Res Ctr Elearning, Wuhan, Peoples R China.;Zhang, K (corresponding author), Cent China Normal Univ, Fac Artificial Intelligence Educ, Natl Engn Lab Educ Big Data, Wuhan, Peoples R China.;Wang, GS (corresponding author), Wuhan Univ, Sch Comp Sci, Wuhan, Peoples R China.</t>
  </si>
  <si>
    <t>chenjy@mail.ccnu.edu.cn; junlin02@mails.ccnu.edu.cn; zhk@mail.ccnu.edu.cn; wangguang_shuai@163.com</t>
  </si>
  <si>
    <t>Zeng, Xiaohuan/MTD-9872-2025; WANG, Guangshuai/AFP-8320-2022; Chen, Jingying/MAI-5362-2025; Zhang, Kun/ADZ-6017-2022</t>
  </si>
  <si>
    <t>Wang, Guangshuai/0000-0003-1022-3227</t>
  </si>
  <si>
    <t>Research Funds of CCNU from the Colleges' Basic Research and Operation of MOE [30106220491]; Science &amp; Technology Major Project of Hubei Province Next-Generation AI Technologies [2021BEA159]; National Natural Science Foundation [61977027]</t>
  </si>
  <si>
    <t>Research Funds of CCNU from the Colleges' Basic Research and Operation of MOE; Science &amp; Technology Major Project of Hubei Province Next-Generation AI Technologies; National Natural Science Foundation(National Natural Science Foundation of China (NSFC))</t>
  </si>
  <si>
    <t>This work was supported by Research Funds of CCNU from the Colleges' Basic Research and Operation of MOE, No. 30106220491, the Science &amp; Technology Major Project of Hubei Province Next-Generation AI Technologies, No. 2021BEA159, the National Natural Science Foundation, No. 61977027.</t>
  </si>
  <si>
    <t>MAY 27</t>
  </si>
  <si>
    <t>10.1080/10494820.2022.2146139</t>
  </si>
  <si>
    <t>C3N6W</t>
  </si>
  <si>
    <t>WOS:001288460000024</t>
  </si>
  <si>
    <t>Zhai, XJ; Rajaram, A; Ramesh, K</t>
  </si>
  <si>
    <t>Zhai, Xiujun; Rajaram, A.; Ramesh, K.</t>
  </si>
  <si>
    <t>Cognitive Model for Human Behavior Analysis</t>
  </si>
  <si>
    <t>JOURNAL OF INTERCONNECTION NETWORKS</t>
  </si>
  <si>
    <t>Autism; short term memory; virtual reality; machine learning</t>
  </si>
  <si>
    <t>VIRTUAL-REALITY</t>
  </si>
  <si>
    <t>The number of autistic children and young people is rising rapidly across the world. Children with intellectual disabilities need special attention from trained experts. Educating them on improving their lifestyle is critical through the traditional teaching-learning environment. This study introduces an interactive educational framework that helps children with special needs have an improved and exciting learning process and explores the need to incorporate physical exercise into their everyday lives. Virtual Reality (VR) seeks more attention from autistic students. This research presents a Machine Learning-based Virtual Reality Application (ML-VRA) for Mentally Challenged Children and keeps the Human Behavior Analysis log files. Machine learning can predict the score of brain data ability. The visual short-term memory and visual-spatial memory are further assessed to identify students' interaction with the VR application. Support Vector Regression prediction algorithm and Baseline Prediction algorithm are used to assess the score prediction for visual short memory and visual-spatial memory.Using an audio technology that allows autistic persons to hear various sounds, the cognitive method VRA instructs autistic children.Further, this study proposes a cognitive model for intellectual task processes and problem-solving using metacognitive architecture. Thus, children can acquire different levels of learning knowledge and skills. The case study performed on these model results with the highest prediction accuracy of 93.65%.</t>
  </si>
  <si>
    <t>[Zhai, Xiujun] Zhengzhou Railway Vocat &amp; Tech Coll, Student Affairs Div, Zhengzhou 451460, Henan, Peoples R China; [Rajaram, A.] EGS Pillay Engn Coll, Dept Elect &amp; Commun Engn, Nagapattinam 611002, Tamil Nadu, India; [Ramesh, K.] Anna Univ, Dept Comp Applicat, Reg Campus Tirunelveli, Tirunelveli, Tamil Nadu, India</t>
  </si>
  <si>
    <t>Anna University; Anna University of Technology Tirunelveli</t>
  </si>
  <si>
    <t>Zhai, XJ (corresponding author), Zhengzhou Railway Vocat &amp; Tech Coll, Student Affairs Div, Zhengzhou 451460, Henan, Peoples R China.</t>
  </si>
  <si>
    <t>zzrvtcxljkzx@163.com; gct143@gmail.com; ramesh.k@auttvl.ac.in</t>
  </si>
  <si>
    <t>Kesavan, Ramesh/ADP-4119-2022</t>
  </si>
  <si>
    <t>Kesavan, Ramesh/0000-0003-2733-4484</t>
  </si>
  <si>
    <t>A Study on the Psychological Reconstruction of the Key Personnel in Henan Province of post-epidemic era [2020BSH023]</t>
  </si>
  <si>
    <t>A Study on the Psychological Reconstruction of the Key Personnel in Henan Province of post-epidemic era</t>
  </si>
  <si>
    <t>A Study on the Psychological Reconstruction of the Key Personnel in Henan Province of post-epidemic era 2020BSH023</t>
  </si>
  <si>
    <t>WORLD SCIENTIFIC PUBL CO PTE LTD</t>
  </si>
  <si>
    <t>SINGAPORE</t>
  </si>
  <si>
    <t>5 TOH TUCK LINK, SINGAPORE 596224, SINGAPORE</t>
  </si>
  <si>
    <t>0219-2659</t>
  </si>
  <si>
    <t>1793-6713</t>
  </si>
  <si>
    <t>J INTERCONNECT NETW</t>
  </si>
  <si>
    <t>J. Interconnect. Netw.</t>
  </si>
  <si>
    <t>SUPP04</t>
  </si>
  <si>
    <t>10.1142/S0219265921460130</t>
  </si>
  <si>
    <t>FEB 2022</t>
  </si>
  <si>
    <t>Computer Science, Theory &amp; Methods</t>
  </si>
  <si>
    <t>5C3OM</t>
  </si>
  <si>
    <t>WOS:000849405500001</t>
  </si>
  <si>
    <t>Skjoldborg, NM; Bender, PK; de López, KMJ</t>
  </si>
  <si>
    <t>Skjoldborg, Nikki M.; Bender, Patrick K.; de Lopez, Kristine M. Jensen</t>
  </si>
  <si>
    <t>The Efficacy of Head-Mounted-Display Virtual Reality Intervention to Improve Life Skills of Individuals with Autism Spectrum Disorders: A Systematic Review</t>
  </si>
  <si>
    <t>NEUROPSYCHIATRIC DISEASE AND TREATMENT</t>
  </si>
  <si>
    <t>virtual reality; autism spectrum disorder; life skills; social skills; head -mounted displays; intervention</t>
  </si>
  <si>
    <t>SOCIAL-SKILLS; CHILDREN; ABILITY</t>
  </si>
  <si>
    <t>Challenges in life skills in individuals with autism spectrum disorders (ASD) are associated with dependency on others and increased isolation from peers. In recent years, interventions using virtual reality (VR) technology have been proposed to improve life skills in ASD populations. This systematic review seeks to evaluate the efficacy of employing VR interventions mediated via headmounted displays (HMD) for the improvement of life skills in individuals with ASD. Several databases were searched and a narrative synthesis was conducted to examine the findings of the included studies. Eight studies including a total of 58 participants were deemed relevant for this systematic review. The methodological quality of the included studies was assessed via the use of critical appraisal tools. Results were generally positive, with one study reporting statistically significant results, and one study not reporting any change in abilities. The remaining six studies reported varying degrees of life skill improvement. The studies were characterized by methodological issues, such as very low sample sizes. The findings of this systematic review indicate some potential for HMD VR interventions in the improvement of life skills in individuals with ASD. However, this review also highlights the current lack of methodologically strong study designs, which prohibits any firm conclusions. Findings are discussed regarding methodological recommendations for further research as well as practical implications for life skills interventions for individuals with ASD.</t>
  </si>
  <si>
    <t>[Skjoldborg, Nikki M.; Bender, Patrick K.; de Lopez, Kristine M. Jensen] Aalborg Univ, Ctr Dev &amp; Appl Psychol Sci, Dept Commun &amp; Psychol, Aalborg, Denmark</t>
  </si>
  <si>
    <t>Aalborg University</t>
  </si>
  <si>
    <t>de López, KMJ (corresponding author), Aalborg Univ, Ctr Dev &amp; Appl Psychol Sci, Dept Commun &amp; Psychol, Aalborg, Denmark.</t>
  </si>
  <si>
    <t>; Jensen de Lopez, Kristine M./JVM-7666-2024</t>
  </si>
  <si>
    <t>Skjoldborg, Nikki/0000-0002-4642-7646; Bender, Patrick Karl/0000-0003-2603-2126; Jensen de Lopez, Kristine M./0000-0001-5799-8615</t>
  </si>
  <si>
    <t>1178-2021</t>
  </si>
  <si>
    <t>NEUROPSYCH DIS TREAT</t>
  </si>
  <si>
    <t>Neuropsychiatr. Dis. Treat.</t>
  </si>
  <si>
    <t>10.2147/NDT.S331990</t>
  </si>
  <si>
    <t>Clinical Neurology; Psychiatry</t>
  </si>
  <si>
    <t>5R5PD</t>
  </si>
  <si>
    <t>WOS:000874561500001</t>
  </si>
  <si>
    <t>Classification approach for understanding implications of emotions using eye-gaze</t>
  </si>
  <si>
    <t>JOURNAL OF AMBIENT INTELLIGENCE AND HUMANIZED COMPUTING</t>
  </si>
  <si>
    <t>Autism; Virtual reality; Eye-tracking; Fixation duration; Pupil diameter; Blink rate; Classification; SVM</t>
  </si>
  <si>
    <t>AUTISM; CHILDREN; RECOGNITION; PATTERNS; TRACKING; ADOLESCENTS; VALIDATION; THERAPY</t>
  </si>
  <si>
    <t>Atypical behavioral viewing pattern is one of the core deficits of individuals with Autism Spectrum Disorder (ASD). This diminishes their ability to understand the communicator's facial emotional expression and often misinterpret one's intended emotion. Here, we investigated the feasibility of using one's gaze-related indices to estimate distinctive changes corresponding to various emotions. We designed a usability study with nine individuals with ASD and Typically Developing (TD) individuals who were exposed to Virtual Reality (VR) based social scenarios. The VR scenes presented virtual characters who narrated their social experience in the form of short stories with context-relevant emotional expressions. Simultaneously, we collected one's gaze-related physiological indices (PIs) and behavioral looking pattern indices (BIs) using a technologically-enhanced eye-tracker. Subsequently, these PIs and BIs were used to classify the implications of the emotional expressions both within and across the ASD and TD groups. Results of the usability study indicate that one's gaze-related indices can be discriminated with 97% accuracy for various emotions for intra-group analysis and 100% accuracy for inter-group analysis.</t>
  </si>
  <si>
    <t>[Krishnappa Babu, Pradeep Raj] Indian Inst Technol Gandhinagar, Ctr Cognit Sci, Gandhinagar, India; [Lahiri, Uttama] Indian Inst Technol Gandhinagar, Dept Elect Engn, Gandhinagar, India</t>
  </si>
  <si>
    <t>Babu, PRK (corresponding author), Indian Inst Technol Gandhinagar, Ctr Cognit Sci, Gandhinagar, India.</t>
  </si>
  <si>
    <t>pradeepr@iitgn.ac.in</t>
  </si>
  <si>
    <t>1868-5137</t>
  </si>
  <si>
    <t>1868-5145</t>
  </si>
  <si>
    <t>J AMB INTEL HUM COMP</t>
  </si>
  <si>
    <t>J. Ambient Intell. Humaniz. Comput.</t>
  </si>
  <si>
    <t>10.1007/s12652-019-01329-8</t>
  </si>
  <si>
    <t>Computer Science, Artificial Intelligence; Computer Science, Information Systems; Telecommunications</t>
  </si>
  <si>
    <t>Computer Science; Telecommunications</t>
  </si>
  <si>
    <t>LZ6PM</t>
  </si>
  <si>
    <t>WOS:000541343400005</t>
  </si>
  <si>
    <t>Zapata-Fonseca, L; Dotov, D; Fossion, R; Froese, T; Schilbach, L; Vogeley, K; Timmermans, B</t>
  </si>
  <si>
    <t>Zapata-Fonseca, Leonardo; Dotov, Dobromir; Fossion, Ruben; Froese, Tom; Schilbach, Leonhard; Vogeley, Kai; Timmermans, Bert</t>
  </si>
  <si>
    <t>Multi-Scale Coordination of Distinctive Movement Patterns During Embodied Interaction Between Adults With High-Functioning Autism and Neurotypicals</t>
  </si>
  <si>
    <t>autism spectrum disorder; time-series analysis; social interaction; movement variability; human-computer interface; tactile interaction; social motor coordination; multi-scale analysis</t>
  </si>
  <si>
    <t>SPECTRUM DISORDER; VARIABILITY; SIGNATURES; ROBOT</t>
  </si>
  <si>
    <t>Autism Spectrum Disorder (ASD) can be understood as a social interaction disorder. This requires researchers to take a second-person stance and to use experimental setups based on bidirectional interactions. The present work offers a quantitative description of movement patterns exhibited during computer-mediated real-time sensorimotor interaction in 10 dyads of adult participants, each consisting of one control individual (CTRL) and one individual with high-functioning autism (HFA). We applied time-series analyses to their movements and found two main results. First, multi-scale coordination between participants was present. Second, despite this dyadic alignment and our previous finding that individuals with HFA can be equally sensitive to the other's presence, individuals' movements differed in style: in contrast to CTRLs, HFA participants appeared less inclined to sustain mutual interaction and instead explored the virtual environment more generally. This finding is consistent with social motivation deficit accounts of ASD, as well as with hypersensitivity-motivated avoidance of overstimulation. Our research demonstrates the utility of time series analyses for the second-person stance and complements previous work focused on non-dynamical and performance-based variables.</t>
  </si>
  <si>
    <t>[Zapata-Fonseca, Leonardo] Univ Nacl Autonoma Mexico, Plan Combined Studies Med PECEM, Fac Med, Mexico City, DF, Mexico; [Zapata-Fonseca, Leonardo; Fossion, Ruben; Froese, Tom] Univ Nacl Autonoma Mexico, Ctr Sci Complex C3, Mexico City, DF, Mexico; [Dotov, Dobromir] McMaster Univ, Res &amp; High Performance Comp, LIVELab, Hamilton, ON, Canada; [Fossion, Ruben] Univ Nacl Autonoma Mexico, Inst Nucl Sci, Dept Matter Struct, Mexico City, DF, Mexico; [Froese, Tom] Univ Nacl Autonoma Mexico, Inst Appl Math &amp; Syst Res, Dept Comp Sci, Mexico City, DF, Mexico; [Schilbach, Leonhard] Max Planck Inst Psychiat, Independent Max Planck Res Grp Social Neurosci, Munich, Germany; [Schilbach, Leonhard] Ludwig Maximilians Univ Munchen, Dept Psychiat, Munich, Germany; [Vogeley, Kai] Univ Hosp Cologne, Dept Psychiat &amp; Psychotherapy, Cologne, Germany; [Vogeley, Kai] Res Ctr Julich, Inst Neurosci &amp; Med, Cognit Neurosci INM 3, Julich, Germany; [Timmermans, Bert] Univ Aberdeen, Sch Psychol, Aberdeen, Scotland</t>
  </si>
  <si>
    <t>Universidad Nacional Autonoma de Mexico; Universidad Nacional Autonoma de Mexico; McMaster University; Universidad Nacional Autonoma de Mexico; Universidad Nacional Autonoma de Mexico; Max Planck Society; University of Munich; University of Cologne; Helmholtz Association; Research Center Julich; University of Aberdeen</t>
  </si>
  <si>
    <t>Zapata-Fonseca, L (corresponding author), Univ Nacl Autonoma Mexico, Plan Combined Studies Med PECEM, Fac Med, Mexico City, DF, Mexico.;Zapata-Fonseca, L (corresponding author), Univ Nacl Autonoma Mexico, Ctr Sci Complex C3, Mexico City, DF, Mexico.;Timmermans, B (corresponding author), Univ Aberdeen, Sch Psychol, Aberdeen, Scotland.</t>
  </si>
  <si>
    <t>zapatafonseca.leonardo@gmail.com; bert.timmermans@abdn.ac.uk</t>
  </si>
  <si>
    <t>Froese, Tom/B-3301-2012; Fossion, Ruben/X-1682-2019; Schilbach, Leonhard/G-5832-2010; Dotov, Dobromir/J-8257-2015; Vogeley, Kai/E-4860-2012</t>
  </si>
  <si>
    <t>Timmermans, Bert/0000-0002-0404-8912; Dotov, Dobromir/0000-0002-5543-360X; Vogeley, Kai/0000-0002-5891-5831</t>
  </si>
  <si>
    <t>DGAPA-PAPIIT projects of the Universidad Nacional Autonoma de Mexico [IA105017, IA104717]; Consejo Nacional de Ciencia y Tecnologia (CONACyT) [167441]; CONACyT [638215]; Newton Advanced Fellowship by Academy of Medical Sciences, through the UK Government's Newton; Marie Curie Intra-European Fellowship SOCIAL BRAIN</t>
  </si>
  <si>
    <t>DGAPA-PAPIIT projects of the Universidad Nacional Autonoma de Mexico; Consejo Nacional de Ciencia y Tecnologia (CONACyT)(Consejo Nacional de Ciencia y Tecnologia (CONACyT)); CONACyT(Consejo Nacional de Ciencia y Tecnologia (CONACyT)); Newton Advanced Fellowship by Academy of Medical Sciences, through the UK Government's Newton; Marie Curie Intra-European Fellowship SOCIAL BRAIN(European Union (EU))</t>
  </si>
  <si>
    <t>We acknowledge financial support from DGAPA-PAPIIT projects of the Universidad Nacional Autonoma de Mexico: IA105017 (RF and LZ-F) and IA104717 (TF), Consejo Nacional de Ciencia y Tecnologia (CONACyT) projects 167441 (RF and LZ-F), the scholarship 638215 to LZ-F granted by the CONACyT, the Newton Advanced Fellowship awarded to RF by the Academy of Medical Sciences, through the UK Government's Newton, and the Marie Curie Intra-European Fellowship SOCIAL BRAIN awarded to BT.</t>
  </si>
  <si>
    <t>JAN 11</t>
  </si>
  <si>
    <t>10.3389/fpsyg.2018.02760</t>
  </si>
  <si>
    <t>HH2NB</t>
  </si>
  <si>
    <t>Green Published, gold, Green Accepted</t>
  </si>
  <si>
    <t>WOS:000455554300001</t>
  </si>
  <si>
    <t>Alcañiz, ML; Olmos-Raya, E; Abad, L</t>
  </si>
  <si>
    <t>Alcaniz, Mariano L.; Olmos-Raya, Elena; Abad, Luis</t>
  </si>
  <si>
    <t>Use of virtual reality for neurodevelopmental disorders: a review of the state of the art and future agenda</t>
  </si>
  <si>
    <t>MEDICINA-BUENOS AIRES</t>
  </si>
  <si>
    <t>autism spectrum disorder; virtual reality; artificial intelligence; machine learning</t>
  </si>
  <si>
    <t>AUTISM; VARIABILITY; CHILDREN</t>
  </si>
  <si>
    <t>To date, the diagnostic tools for autism spectrum disorder (ASD) have been mostly based on qualitative criteria from observational information in contexts with low ecological validity. We are witnessing a growing scientific activity that proposes the use of implicit measures for the evaluation and diagnosis of ASD. These measures are based on processes of a biological and unconscious nature, underlying the capacity of human cognition, and are obtained through the acquisition and treatment of brain, physiological and behavioral responses in order to obtain the behavioral structure of the ASD patient facing a stimulus. The complex relationship between physiological responses and the behavioral structure of the ASD patient requires the use of advanced techniques of signal processing based on cognitive computation. Artificial intelligence (Al) techniques, such as machine learning and neurocomputing applied to the analysis of psychophysiological signals, have demonstrated their robustness for the classification of complex cognitive constructs. Virtual reality (VR) is a tool that allows recreating real-life situations with high sensory fidelity, but at the same time individually controlling each of the situations and stimuli that influence human behavior. It also allows the measurement in real time of human reactions to such stimuli. This document analyzes the latest scientific and technological advances relevant to its applications in the diagnosis of ASD. We conclude that VR is a very valuable tool for ASD research, especially for the evaluation and diagnosis of complex skills and competencies.</t>
  </si>
  <si>
    <t>[Alcaniz, Mariano L.; Olmos-Raya, Elena] Univ Politecn Valencia, Inst Invest &amp; Innovac Bioingn i3, Valencia, Spain; [Olmos-Raya, Elena; Abad, Luis] Ctr Desarrollo Cognit Red Cenit, Valencia, Spain</t>
  </si>
  <si>
    <t>Alcañiz, ML (corresponding author), Univ Politecn Valencia, Inst Invest &amp; Innovac Bioingn i3, Valencia, Spain.</t>
  </si>
  <si>
    <t>Raya, Elena/HPE-4478-2023; Alcañiz, Mariano/CAG-6569-2022; Alcaniz, Mariano/I-9659-2016</t>
  </si>
  <si>
    <t>Olmos-Raya, Elena/0000-0001-9508-4531; Alcaniz, Mariano/0000-0001-9207-0636</t>
  </si>
  <si>
    <t>MEDICINA (BUENOS AIRES)</t>
  </si>
  <si>
    <t>BUENOS AIRES</t>
  </si>
  <si>
    <t>DONATO ALVAREZ 3150, 1427 BUENOS AIRES, ARGENTINA</t>
  </si>
  <si>
    <t>0025-7680</t>
  </si>
  <si>
    <t>1669-9106</t>
  </si>
  <si>
    <t>MEDICINA-BUENOS AIRE</t>
  </si>
  <si>
    <t>Med.-Buenos Aires</t>
  </si>
  <si>
    <t>HW7GC</t>
  </si>
  <si>
    <t>WOS:000466857200016</t>
  </si>
  <si>
    <t>Li, C; Belter, M; Liu, J; Lukosch, H</t>
  </si>
  <si>
    <t>Li, Chen; Belter, Meike; Liu, Jing; Lukosch, Heide</t>
  </si>
  <si>
    <t>Immersive Virtual Reality Enabled Interventions for Autism Spectrum Disorder: A Systematic Review and Meta-Analysis</t>
  </si>
  <si>
    <t>virtual reality; autism spectrum disorder; systematic review; meta-analysis; intervention effectiveness; immersion; immersive learning</t>
  </si>
  <si>
    <t>SOCIAL-SKILLS; BEHAVIORAL-APPROACH; CHILDREN; STUDENTS; ENVIRONMENTS; INDIVIDUALS; PERFORMANCE; TECHNOLOGY; DEFICITS; SUPPORT</t>
  </si>
  <si>
    <t>Autism spectrum disorder (ASD) is characterized by persistent deficits in social communication and interaction, which can have significant impacts on daily life, education, and work. Limited performance in learning and working, as well as exclusion from social activities, are common challenges faced by individuals with ASD. Virtual reality (VR) technology has emerged as a promising medium for delivering interventions for ASD. To address five major research questions and understand the latest trends and challenges in this area, a systematic review of 21 journal articles published between 1 January 2010 and 31 December 2022 was conducted using the PRISMA approach. A meta-analysis of 15 articles was further conducted to assess interventional effectiveness. The results showed that most studies focused on social and affective skill training and relied on existing theories and practices with limited adaptations for VR. Furthermore, the enabling technologies' affordances for the interventional needs of individuals with ASD were not thoroughly investigated. We suggest that future studies should propose and design interventions with solid theoretical foundations, explore more interventional areas besides social and affective skill training, and employ more rigorous experimental designs to investigate the effectiveness of VR-enabled ASD interventions.</t>
  </si>
  <si>
    <t>[Li, Chen] Hong Kong Polytech Univ, Dept Appl Social Sci, Hong Kong, Peoples R China; [Li, Chen] Hong Kong Polytech Univ, Dept Comp, Hong Kong, Peoples R China; [Belter, Meike; Lukosch, Heide] Univ Canterbury, HIT Lab NZ, Christchurch 8041, New Zealand; [Liu, Jing] Hong Kong Baptist Univ, Dept Accountancy Econ &amp; Finance, Hong Kong, Peoples R China; [Li, Chen] Hong Kong Polytech Univ, Fac Hlth &amp; Social Sci, Kowloon, Hung Hom, 11 Yuk Choi Rd, Hong Kong, Peoples R China; [Li, Chen] Hong Kong Polytech Univ, Fac Engn, Hung Hom, Kowloon, 11 Yuk Choi Rd, Hong Kong, Peoples R China</t>
  </si>
  <si>
    <t>Hong Kong Polytechnic University; Hong Kong Polytechnic University; University of Canterbury; Hong Kong Baptist University; Hong Kong Polytechnic University; Hong Kong Polytechnic University</t>
  </si>
  <si>
    <t>Li, C (corresponding author), Hong Kong Polytech Univ, Dept Appl Social Sci, Hong Kong, Peoples R China.;Li, C (corresponding author), Hong Kong Polytech Univ, Dept Comp, Hong Kong, Peoples R China.;Liu, J (corresponding author), Hong Kong Baptist Univ, Dept Accountancy Econ &amp; Finance, Hong Kong, Peoples R China.;Li, C (corresponding author), Hong Kong Polytech Univ, Fac Hlth &amp; Social Sci, Kowloon, Hung Hom, 11 Yuk Choi Rd, Hong Kong, Peoples R China.;Li, C (corresponding author), Hong Kong Polytech Univ, Fac Engn, Hung Hom, Kowloon, 11 Yuk Choi Rd, Hong Kong, Peoples R China.</t>
  </si>
  <si>
    <t>richard-chen.li@polyu.edu.hk; meike.belter@pg.canterbury.ac.nz; jingliu@hkbu.edu.hk; heide.lukosch@canterbury.ac.nz</t>
  </si>
  <si>
    <t>Lukosch, Heide/AAY-8097-2020</t>
  </si>
  <si>
    <t>Lukosch, Heide Karen/0000-0002-9585-0723; Li, Chen/0000-0002-3782-0737</t>
  </si>
  <si>
    <t>10.3390/electronics12112497</t>
  </si>
  <si>
    <t>I7RP6</t>
  </si>
  <si>
    <t>WOS:001004725200001</t>
  </si>
  <si>
    <t>Tan, BL; Shi, J; Yang, SY; Loh, H; Ng, D; Choo, C; Medalia, A</t>
  </si>
  <si>
    <t>Tan, Bhing-Leet; Shi, Jing; Yang, Suyi; Loh, Hannah; Ng, Desiree; Choo, Cherie; Medalia, Alice</t>
  </si>
  <si>
    <t>The use of virtual reality and augmented reality in psychosocial rehabilitation for adults with neurodevelopmental disorders: A systematic review</t>
  </si>
  <si>
    <t>psychosocial rehabilitation; neurodevelopmental disorders; functional outcomes; community living; employment; social participation; systematic review; virtual reality and augmented reality</t>
  </si>
  <si>
    <t>COGNITIVE-BEHAVIORAL THERAPY; PERSONAL RECOVERY; TRAINING-PROGRAM; PERFORM SYSTEM; SOCIAL-SKILLS; TASK-ANALYSIS; YOUNG-ADULTS; AUTISM; SCHIZOPHRENIA; PEOPLE</t>
  </si>
  <si>
    <t>Objectives: Virtual reality and augmented reality have been used in psychosocial rehabilitation for adults with neurodevelopmental disorders in recent years, to provide functional training in a scaffolded and appealing manner. This systematic review attempted to evaluate (1) how virtual reality or augmented reality technology was deployed, when used as an intervention for adults with neurodevelopmental disorders; and (2) how virtual or augmented reality-assisted psychosocial rehabilitation programs impacted on the functional domains of community living, employment and social participation. Methods: The Preferred Reporting Items for Systematic Reviews and Meta-Analyses (PRISMA) guidelines was adopted and a search of publications between June 2012 and June 2022 was carried out. The target groups were adults with schizophrenia/schizoaffective disorders, autism spectrum disorder, intellectual disabilities and attention deficit hyperactivity disorder. Interventions that targeted at least one functional domain were included. Results: The database search generated 1,267 records and 38 studies met the inclusion criteria. Three studies utilized augmented reality while the rest utilized virtual reality. The virtual scenarios were displayed in various ways, such as head-mounted displays, computer screens, mobile devices and cave rooms. A few studies also used features such as speech recognition, eye tracking and motion-capture device to provide real-time feedback to participants during rehabilitation. Eleven studies reported interventions that addressed community living, 15 studies addressed vocational skills and nine studies trained participants in social skills or social cognition. Three studies sought to improve quality of life using virtual scenarios to expose participants to various situations. Majority of these studies reported preliminary promising results, with improvement in the functional domains addressed. However, several studies had small sample sizes and many single-arm pretest-posttest studies were assessed to be of serious or critical risk of bias. Conclusion: Virtual reality and augmented reality are deployed in various ways to augment psychosocial rehabilitation for adults with neurodevelopmental disorders. Most interventions target skills training or strategy learning in the areas of community living, work and social participation. Preliminary positive findings of their effects on functional performance were reported. Larger and robust studies using ecologically valid outcome measures will be needed to establish their effects on real-world functional outcomes.</t>
  </si>
  <si>
    <t>[Tan, Bhing-Leet; Shi, Jing] Singapore Inst Technol, Hlth &amp; Social Sci Cluster, Singapore, Singapore; [Tan, Bhing-Leet; Yang, Suyi; Loh, Hannah; Ng, Desiree; Choo, Cherie] Inst Mental Hlth, Occupat Therapy Dept, Singapore, Singapore; [Medalia, Alice] Columbia Univ, New York State Psychiat Inst, Dept Psychiat, Vagelos Coll Phys &amp; Surg, New York, NY USA</t>
  </si>
  <si>
    <t>Singapore Institute of Technology; Columbia University; New York State Psychiatry Institute</t>
  </si>
  <si>
    <t>Tan, BL (corresponding author), Singapore Inst Technol, Hlth &amp; Social Sci Cluster, Singapore, Singapore.;Tan, BL (corresponding author), Inst Mental Hlth, Occupat Therapy Dept, Singapore, Singapore.</t>
  </si>
  <si>
    <t>bhingleet.tan@singaporetech.edu.sg</t>
  </si>
  <si>
    <t>Shi, Jing/F-7268-2019; Tan, Bhing-Leet/AGS-0229-2022</t>
  </si>
  <si>
    <t>Shi, Jing/0000-0001-7156-8128; Tan, Bhing-Leet/0000-0002-7611-363X</t>
  </si>
  <si>
    <t>Ministry of Education-Singapore Institute of Technology (SIT); [R-MOE-E103-F018]</t>
  </si>
  <si>
    <t>Ministry of Education-Singapore Institute of Technology (SIT);</t>
  </si>
  <si>
    <t>This study was funded by the Ministry of Education-Singapore Institute of Technology (SIT) Ignition Grant (R-MOE-E103-F018).</t>
  </si>
  <si>
    <t>DEC 14</t>
  </si>
  <si>
    <t>10.3389/fpsyt.2022.1055204</t>
  </si>
  <si>
    <t>7K1WD</t>
  </si>
  <si>
    <t>WOS:000905076200001</t>
  </si>
  <si>
    <t>Jyoti, V; Gupta, S; Lahiri, U</t>
  </si>
  <si>
    <t>Jyoti, Vishav; Gupta, Sanika; Lahiri, Uttama</t>
  </si>
  <si>
    <t>Understanding the Role of Objects in Joint Attention Task Framework for Children With Autism</t>
  </si>
  <si>
    <t>IEEE TRANSACTIONS ON COGNITIVE AND DEVELOPMENTAL SYSTEMS</t>
  </si>
  <si>
    <t>Task analysis; Training; Toy manufacturing industry; Databases; Robots; Computers; Automobiles; Autism; eye-gaze; joint attention (JA); objects; virtual reality (VR)</t>
  </si>
  <si>
    <t>SOCIAL COMMUNICATION; SPECTRUM DISORDER; YOUNG-CHILDREN; GAZE; PERFORMANCE; IMPAIRMENTS</t>
  </si>
  <si>
    <t>Joint Attention (JA) refers to the triadic relationship between two individuals with a common target of interest in their shared visual space. JA is one of the core deficits in children with autism spectrum disorder (ASD), which adversely affects their overall socio-communicative development. Researchers have focused on the JA skill training using various approaches where the mediator/facilitator provides the JA cues toward a target of interest. Research studies have used different objects as targets of interest in JA skill training. However, the role of the objects for JA skill training has often been neglected. Objects in our environment aid in mediating the social relationships between children and their social partners and establishing socio-communicative relations with the environment. In this study, we have designed a virtual environment with virtual objects to understand the role of objects in JA skill training for individuals with ASD. We have created a database of virtual objects and projected these objects in a computer-based JA task framework. Based on a survey, we selected objects that were preferred by these children, with the rest being comparatively less preferred. Our experimental study involves presenting the designed virtual objects in a randomized manner in the computer-based JA task trials. Results of this study with a group of 15 children with ASD were promising. The results of this study indicate differentiated implications of preferred objects presented as target and non-target on the task performance and looking pattern of these children.</t>
  </si>
  <si>
    <t>[Jyoti, Vishav; Gupta, Sanika] Indian Inst Technol Gandhinagar, Ctr Cognit &amp; Brain Sci, Gandhinagar 382355, India; [Lahiri, Uttama] Indian Inst Technol Gandhinagar, Discipline Elect Engn, Gandhinagar 382355, India</t>
  </si>
  <si>
    <t>vishav.jyoti@iitgn.ac.in; sanika.gupta@iitgn.ac.in; uttamalahiri@iitgn.ac.in</t>
  </si>
  <si>
    <t>The authors are thankful to B. M. Institute of Mental Health, Ahmedabad, and Pearl Special Needs School, Ahmedabad, for helping them to enroll the participants for our study. We would also like to thank the participants and their families for their kind cooperation and support for our study. The authors would also like to express our gratitude to TCS Ph.D. research scholarship and IIT Gandhinagar for funding this research.</t>
  </si>
  <si>
    <t>2379-8920</t>
  </si>
  <si>
    <t>2379-8939</t>
  </si>
  <si>
    <t>IEEE T COGN DEV SYST</t>
  </si>
  <si>
    <t>IEEE Trans. Cogn. Dev. Syst.</t>
  </si>
  <si>
    <t>10.1109/TCDS.2020.2983333</t>
  </si>
  <si>
    <t>Computer Science, Artificial Intelligence; Robotics; Neurosciences</t>
  </si>
  <si>
    <t>Computer Science; Robotics; Neurosciences &amp; Neurology</t>
  </si>
  <si>
    <t>UO4XJ</t>
  </si>
  <si>
    <t>WOS:000694697900012</t>
  </si>
  <si>
    <t>Schmidt, MM; Glaser, N</t>
  </si>
  <si>
    <t>Schmidt, Matthew M.; Glaser, Noah</t>
  </si>
  <si>
    <t>Piloting an adaptive skills virtual reality intervention for adults with autism: findings from user-centered formative design and evaluation</t>
  </si>
  <si>
    <t>Virtual reality; Autism; Immersive technologies; Head-mounted display</t>
  </si>
  <si>
    <t>TECHNOLOGY-BASED INTERVENTIONS; TEACH SOCIAL-SKILLS; SPECTRUM DISORDER; INTELLECTUAL DISABILITIES; ASPERGER-SYNDROME; YOUNG-ADULTS; CHILDREN; INDIVIDUALS; ENVIRONMENTS; ADOLESCENTS</t>
  </si>
  <si>
    <t>Purpose The purpose of this paper is to present evaluation findings from a proof-of-concept virtual reality adaptive skills intervention called Virtuoso, designed for adults with autism spectrum disorders. Design/methodology/approach A user-centric usage test was conducted to investigate the acceptability, feasibility, ease-of-use and relevance of Virtuoso to the unique needs of participants, as well as the nature of participants' user experiences. Findings are presented from the perspectives of expert testers and participant testers with autism. Findings This paper offers findings that suggest Virtuoso is feasible and relevant to the unique needs of the target population, and that user experience was largely positive. Anecdotal evidence of skills transfer is also discussed. Research limitations/implications The research was conducted in limited settings and with a small number of participants. Multiple VR hardware systems were used, and some experienced instability. This could be accounted for in future research by deploying across multiple settings and with a larger number of participants. Some evidence of cybersickness was observed. Future research must carefully consider the trade-offs between VR-based training and cybersickness for this vulnerable population. Originality/value This paper reports on cutting-edge design and development in areas that are under-represented and poorly understood in the literature on virtual reality for individuals with autism.</t>
  </si>
  <si>
    <t>[Schmidt, Matthew M.] Univ Florida, Inst Adv Learning Technol, Gainesville, FL 32611 USA; [Glaser, Noah] Univ Connecticut, Dept Educ Psychol, Storrs, CT USA</t>
  </si>
  <si>
    <t>Schmidt, MM (corresponding author), Univ Florida, Inst Adv Learning Technol, Gainesville, FL 32611 USA.</t>
  </si>
  <si>
    <t>SEP 8</t>
  </si>
  <si>
    <t>10.1108/JET-09-2020-0037</t>
  </si>
  <si>
    <t>MAY 2021</t>
  </si>
  <si>
    <t>UM8WX</t>
  </si>
  <si>
    <t>WOS:000655186300001</t>
  </si>
  <si>
    <t>Zhao, HF; Yang, YK; Karlsson, P; McEwan, A</t>
  </si>
  <si>
    <t>Zhao, Haifeng; Yang, Yikai; Karlsson, Petra; McEwan, Alistair</t>
  </si>
  <si>
    <t>Can recurrent neural network enhanced EEGNet improve the accuracy of ERP classification task? An exploration and a discussion</t>
  </si>
  <si>
    <t>HEALTH AND TECHNOLOGY</t>
  </si>
  <si>
    <t>RNN; CNN; LDA; ASD; ERP</t>
  </si>
  <si>
    <t>BRAIN-COMPUTER INTERFACES; BCI-COMPETITION-III; ATTENTION; AUTISM; PERFORMANCE; P300</t>
  </si>
  <si>
    <t>Autism Spectrum Disorder (ASD) is one of the most common developmental conditions with one in 160 children worldwide being diagnosed. Both Virtual Reality (VR) and Brain-Computer Interfaces (BCI) are believed to be beneficial to enhance communication for people with ASD. However, BCI solutions for ASD are not yet commercially available. This is partly due to the current challenge with long and fatiguing calibration sessions with conventional gel based BCI. BCI using active electrodes hold the potentials to resolve part of this issue but might increase the challenges to classification of tasks due to reduced signal quality. The dataset considered in this paper, available from the IFMBE Scientific Challenge (IFMBE SC) of 15 participants with ASD, contained data captured using electroencephalogram (EEG) headsets, from g.Nautilus system, with active electrodes in a VR environment. Known approaches, such as the Support Vector Machine (SVM), Linear Discriminant Analysis (LDA), Convolutional Neural Networks (CNN) and Long-Short Term Memory (LSTM) have demonstrated potential solutions to enhancing current algorithms. Nevertheless, in this paper, a novel Recurrent Neural Network (RNN) solution with several pre-processing methods was introduced. Our results show that our novel RNN solution achieved 92.59% accuracy, an improvement with 0.61 percentage point from the previously best reported algorithm during the IFMBE SC. Furthermore, with a standard 80%-20% initial separation strategy, our solution also generated a compatible accuracy at 89.92%.</t>
  </si>
  <si>
    <t>[Zhao, Haifeng; Yang, Yikai; Karlsson, Petra; McEwan, Alistair] Univ Sydney, Camperdown, NSW 2006, Australia; [Karlsson, Petra] Cerebral Palsy Alliance, Sydney, NSW, Australia</t>
  </si>
  <si>
    <t>University of Sydney; Cerebral Palsy Alliance - Australia</t>
  </si>
  <si>
    <t>Zhao, HF; McEwan, A (corresponding author), Univ Sydney, Camperdown, NSW 2006, Australia.</t>
  </si>
  <si>
    <t>haifeng.zhao@sydney.edu.au; yikai.yang@sydney.edu.au; PKarlsson@cerebralpalsy.org.au; alistair.mcewan@sydney.edu.au</t>
  </si>
  <si>
    <t>zhao, haifeng/JNX-7170-2023; McEwan, Alistair/C-4792-2014</t>
  </si>
  <si>
    <t>McEwan, Alistair/0000-0001-7597-6372; Zhao, Haifeng/0000-0003-4234-5894</t>
  </si>
  <si>
    <t>2190-7188</t>
  </si>
  <si>
    <t>2190-7196</t>
  </si>
  <si>
    <t>HEALTH TECHNOL-GER</t>
  </si>
  <si>
    <t>Health Technol.</t>
  </si>
  <si>
    <t>10.1007/s12553-020-00458-x</t>
  </si>
  <si>
    <t>Medical Informatics</t>
  </si>
  <si>
    <t>MT1WM</t>
  </si>
  <si>
    <t>WOS:000554758400015</t>
  </si>
  <si>
    <t>Valori, I; Bayramova, R; McKenna-Plumley, PE; Farroni, T</t>
  </si>
  <si>
    <t>Valori, Irene; Bayramova, Rena; McKenna-Plumley, Phoebe E.; Farroni, Teresa</t>
  </si>
  <si>
    <t>Sensorimotor Research Utilising Immersive Virtual Reality: A Pilot Study with Children and Adults with Autism Spectrum Disorders</t>
  </si>
  <si>
    <t>autism spectrum disorder; ASD; vision; proprioception; self-motion; immersive virtual reality; IVR; HMD; technology</t>
  </si>
  <si>
    <t>MOTOR; PROPRIOCEPTION; CONSCIOUSNESS</t>
  </si>
  <si>
    <t>When learning and interacting with the world, people with Autism Spectrum Disorders (ASD) show compromised use of vision and enhanced reliance on body-based information. As this atypical profile is associated with motor and social difficulties, interventions could aim to reduce the potentially isolating reliance on the body and foster the use of visual information. To this end, head-mounted displays (HMDs) have unique features that enable the design of Immersive Virtual Realities (IVR) for manipulating and training sensorimotor processing. The present study assesses feasibility and offers some early insights from a new paradigm for exploring how children and adults with ASD interact with Reality and IVR when vision and proprioception are manipulated. Seven participants (five adults, two children) performed a self-turn task in two environments (Reality and IVR) for each of three sensory conditions (Only Proprioception, Only Vision, Vision + Proprioception) in a purpose-designed testing room and an HMD-simulated environment. The pilot indicates good feasibility of the paradigm. Preliminary data visualisation suggests the importance of considering inter-individual variability. The participants in this study who performed worse with Only Vision and better with Only Proprioception seemed to benefit from the use of IVR. Those who performed better with Only Vision and worse with Only Proprioception seemed to benefit from Reality. Therefore, we invite researchers and clinicians to consider that IVR may facilitate or impair individuals depending on their profiles.</t>
  </si>
  <si>
    <t>[Valori, Irene; Farroni, Teresa] Univ Padua, Dept Dev Psychol &amp; Socialisat, I-35131 Padua, Italy; [Bayramova, Rena] Univ Padua, Dept Gen Psychol, Via Venezia 8, I-35131 Padua, Italy; [McKenna-Plumley, Phoebe E.] Queens Univ Belfast, Sch Psychol, Belfast BT9 5BN, Antrim, North Ireland</t>
  </si>
  <si>
    <t>University of Padua; University of Padua; Queens University Belfast</t>
  </si>
  <si>
    <t>Farroni, T (corresponding author), Univ Padua, Dept Dev Psychol &amp; Socialisat, I-35131 Padua, Italy.</t>
  </si>
  <si>
    <t>irene.valori.1@phd.unipd.it; renabayramova@outlook.com; pmckennaplumley01@qub.ac.uk; teresa.farroni@unipd.it</t>
  </si>
  <si>
    <t>McKenna-Plumley, Phoebe/AFT-2755-2022; Valori, Irene/ITT-4139-2023</t>
  </si>
  <si>
    <t>Bayramova, Rena/0000-0002-1562-7573; Valori, Irene/0000-0002-9560-2789</t>
  </si>
  <si>
    <t>Beneficentia Stiftung Foundation</t>
  </si>
  <si>
    <t>This research was funded by Beneficentia Stiftung Foundation.</t>
  </si>
  <si>
    <t>10.3390/brainsci10050259</t>
  </si>
  <si>
    <t>LZ2CN</t>
  </si>
  <si>
    <t>WOS:000541036100057</t>
  </si>
  <si>
    <t>Wankhede, N; Kale, M; Shukla, M; Nathiya, D; Roopashree, R; Kaur, P; Goyanka, B; Rahangdale, S; Taksande, B; Upaganlawar, A; Khalid, M; Chigurupati, S; Umekar, M; Kopalli, SR; Koppula, S</t>
  </si>
  <si>
    <t>Wankhede, Nitu; Kale, Mayur; Shukla, Madhu; Nathiya, Deepak; Roopashree, R.; Kaur, Parjinder; Goyanka, Barkha; Rahangdale, Sandip; Taksande, Brijesh; Upaganlawar, Aman; Khalid, Mohammad; Chigurupati, Sridevi; Umekar, Milind; Kopalli, Spandana Rajendra; Koppula, Sushruta</t>
  </si>
  <si>
    <t>Leveraging AI for the diagnosis and treatment of autism spectrum disorder: Current trends and future prospects</t>
  </si>
  <si>
    <t>ASIAN JOURNAL OF PSYCHIATRY</t>
  </si>
  <si>
    <t>AI; ASD; Virtual reality; Neuroimaging; Genetic markers; Data handling</t>
  </si>
  <si>
    <t>ARTIFICIAL-INTELLIGENCE</t>
  </si>
  <si>
    <t>The integration of artificial intelligence (AI) into the diagnosis and treatment of autism spectrum disorder (ASD) represents a promising frontier in healthcare. This review explores the current landscape and future prospects of AI technologies in ASD diagnostics and interventions. AI enables early detection and personalized assessment of ASD through the analysis of diverse data sources such as behavioural patterns, neuroimaging, genetics, and electronic health records. Machine learning algorithms exhibit high accuracy in distinguishing ASD from neurotypical development and other developmental disorders, facilitating timely interventions. Furthermore, AIdriven therapeutic interventions, including augmentative communication systems, virtual reality-based training, and robot-assisted therapies, show potential in improving social interactions and communication skills in individuals with ASD. Despite challenges such as data privacy and interpretability, the future of AI in ASD holds promise for refining diagnostic accuracy, deploying telehealth platforms, and tailoring treatment plans. By harnessing AI, clinicians can enhance ASD care delivery, empower patients, and advance our understanding of this complex condition.</t>
  </si>
  <si>
    <t>[Wankhede, Nitu; Kale, Mayur; Goyanka, Barkha; Rahangdale, Sandip; Taksande, Brijesh; Umekar, Milind] Smt Kishoritai Bhoyar Coll Pharm, Nagpur 441002, Maharashtra, India; [Shukla, Madhu] Marwadi Univ, Res Ctr, Fac Engn &amp; Technol, Dept Comp Engn, Rajkot 360003, Gujarat, India; [Nathiya, Deepak] NIMS Univ, Inst Pharm, Dept Pharm Practice, Jaipur, India; [Roopashree, R.] JAIN Deemed Univ, Sch Sci, Dept Chem &amp; Biochem, Bangalore, Karnataka, India; [Kaur, Parjinder] Chandigarh Pharm Coll, Chandigarh Grp Coll Jhanjeri, Mohali 140307, Punjab, India; [Upaganlawar, Aman] SNJBs Shriman Sureshdada Jain Coll Pharm, Nasik, Maharashtra, India; [Khalid, Mohammad] Prince Sattam Bin Abdulaziz Univ Alkharj, Coll Pharm, Dept Pharmacognosy, Al Kharj, Saudi Arabia; [Chigurupati, Sridevi] Qassim Univ, Coll Pharm, Dept Med Chem &amp; Pharmacognosy, Buraydah 51452, Saudi Arabia; [Kopalli, Spandana Rajendra] Sejong Univ, Dept Biosci &amp; Biotechnol, Seoul 05006, South Korea; [Koppula, Sushruta] Konkuk Univ, Coll Biomed &amp; Hlth Sci, Chungju Si 27478, South Korea</t>
  </si>
  <si>
    <t>Marwadi University; Jain University; Prince Sattam Bin Abdulaziz University; Qassim University; Sejong University; Konkuk University</t>
  </si>
  <si>
    <t>Koppula, S (corresponding author), Konkuk Univ, Coll Biomed &amp; Hlth Sci, Chungju Si 27478, South Korea.</t>
  </si>
  <si>
    <t>CHIGURUPATI, SRIDEVI/GRX-8274-2022; Shree, Roopa/JRX-0730-2023; Kale, Mayur/GQI-0968-2022; UMEKAR, MILIND/ABI-6283-2020; Wankhede, Nitu/HJP-0404-2023; Khalid, Mohammad/LEM-5936-2024; Koppula, Sushruta/JRW-6571-2023; Koppula, Sushruta/F-2817-2013</t>
  </si>
  <si>
    <t>Khalid, Mohammad/0000-0002-2163-0066; Koppula, Sushruta/0000-0002-8597-7763</t>
  </si>
  <si>
    <t>The work is not funded by any source</t>
  </si>
  <si>
    <t>1876-2018</t>
  </si>
  <si>
    <t>1876-2026</t>
  </si>
  <si>
    <t>ASIAN J PSYCHIATR</t>
  </si>
  <si>
    <t>Asian J. Psychiatr.</t>
  </si>
  <si>
    <t>10.1016/j.ajp.2024.104241</t>
  </si>
  <si>
    <t>SEP 2024</t>
  </si>
  <si>
    <t>G5C1B</t>
  </si>
  <si>
    <t>WOS:001316804800001</t>
  </si>
  <si>
    <t>Mittal, P; Bhadania, M; Tondak, N; Ajmera, P; Yadav, S; Kukreti, A; Kalra, S; Ajmera, P</t>
  </si>
  <si>
    <t>Mittal, Palka; Bhadania, Mahati; Tondak, Navya; Ajmera, Priyansh; Yadav, Sapna; Kukreti, Aditya; Kalra, Sheetal; Ajmera, Puneeta</t>
  </si>
  <si>
    <t>Effect of immersive virtual reality-based training on cognitive, social, and emotional skills in children and adolescents with autism spectrum disorder: A meta-analysis of randomized controlled trials</t>
  </si>
  <si>
    <t>Virtual reality; VR; Autism; Autism Spectrum Disorders; ASD; Meta -analysis; Social skill; Cognitive skills</t>
  </si>
  <si>
    <t>REHABILITATION; INDIVIDUALS; ENVIRONMENT; SYSTEM</t>
  </si>
  <si>
    <t>Background: Virtual Reality (VR) based diagnostic and therapeutic interventions have opened up new possibilities for addressing the challenges in identifying and treating individuals with Autism Spectrum Disorders (ASD). Aim: To conduct a systematic review and meta-analysis of Randomized Controlled Trials to investigate the impact of Immersive VR techniques on the cognitive, social, and emotional skills of under-18 children and adolescents with ASD. Methods and procedures: Four databases were systematically searched as per Preferred Reporting Items for Systematic Reviews and Meta-analyses guidelines and assessed six RCTs for further analysis. The Cochrane Risk of Bias tool was used to assess the methodological quality of the studies. Outcomes: Pooled results favoured VR and reported significant differences between experimental and control groups concerning social skills (SMD:1.43; 95 % CI: 0.01-2.84; P: 0.05), emotional skills (SMD: 2.45; 95 % CI: 0.21-4.18; P: 0.03) and cognitive skills. Conclusion: VR offers an array of benefits that make it a promising tool for children and adolescents with ASD to improve their cognitive, social and emotional skills in a safe and supportive setting. However, accessibility, affordability, customization, and cost are also significant aspects to consider when developing and implementing VR-based interventions for ASD.</t>
  </si>
  <si>
    <t>[Mittal, Palka; Bhadania, Mahati; Tondak, Navya; Yadav, Sapna; Kukreti, Aditya; Ajmera, Puneeta] Delhi Pharmaceut Sci &amp; Res Univ, Sch Allied Hlth Sci &amp; Management, New Delhi 110017, India; [Ajmera, Priyansh] KK Birla Birla Inst Technol &amp; Sci Pilani, Goa Campus, Sankval, India; [Kalra, Sheetal] Delhi Pharmaceut Sci &amp; Res Univ, Sch Physiotherapy, New Delhi, India</t>
  </si>
  <si>
    <t>Delhi Pharmaceutical Sciences &amp; Research University (DPSRU); Delhi Pharmaceutical Sciences &amp; Research University (DPSRU)</t>
  </si>
  <si>
    <t>Ajmera, P (corresponding author), Delhi Pharmaceut Sci &amp; Res Univ, Sch Allied Hlth Sci &amp; Management, New Delhi 110017, India.</t>
  </si>
  <si>
    <t>puneeta_22@yahoo.com</t>
  </si>
  <si>
    <t>Ajmera, Puneeta/F-1287-2018; Kalra, Sheetal/AAQ-8612-2021</t>
  </si>
  <si>
    <t>In this paper, we didn't have any financial sponsors.</t>
  </si>
  <si>
    <t>10.1016/j.ridd.2024.104771</t>
  </si>
  <si>
    <t>JUN 2024</t>
  </si>
  <si>
    <t>YE5W9</t>
  </si>
  <si>
    <t>WOS:001266832800001</t>
  </si>
  <si>
    <t>Soltiyeva, A; Oliveira, W; Madina, A; Adilkhan, S; Urmanov, M; Hamari, J</t>
  </si>
  <si>
    <t>Soltiyeva, Aiganym; Oliveira, Wilk; Madina, Alimanova; Adilkhan, Shyngys; Urmanov, Marat; Hamari, Juho</t>
  </si>
  <si>
    <t>My Lovely Granny's Farm: An immersive virtual reality training system for children with autism spectrum disorder</t>
  </si>
  <si>
    <t>Autism spectrum disorder; Virtual reality; Immersive systems; Social interaction; Communicational skills</t>
  </si>
  <si>
    <t>SKILLS; ENVIRONMENTS; DESIGN</t>
  </si>
  <si>
    <t>One of the biggest difficulties faced by children with Autism Spectrum Disorder during their learning process and general life, is communication and social interaction. In recent years, researchers and practitioners have invested in different approaches to improving aspects of their communication and learning. However, there is still no consolidated approach and the community is still looking for new approaches that can meet this need. Addressing this challenge, in this article we propose a novelty approach (i.e., an Adaptive Immersive Virtual Reality Training System), aiming to enrich social interaction and communication skills for children with Autism Spectrum Disorder. In this adaptive system (called My Lovely Granny's Farm), the behavior of the virtual trainer changes depending on the mood and actions of the users (i.e., patients/learners). Additionally, we conducted an initial observational study by monitoring the behavior of children with autism in a virtual environment. In the initial study, the system was offered to users with a high degree of interactivity so that they might practice various social situations in a safe and controlled environment. The results demonstrate that the use of the system can allow patients who needed treatment to receive therapy without leaving home. Our approach is the first experience of treating children with autism in Kazakhstan and can contribute to improving the communication and social interaction of children with Autism Spectrum Disorder. We contribute to the community of educational technologies and mental health by providing a system that can improve communication among children with autism and providing insights on how to design this kind of system.</t>
  </si>
  <si>
    <t>[Soltiyeva, Aiganym; Madina, Alimanova; Adilkhan, Shyngys; Urmanov, Marat] Suleyman Demirel Univ, Fac Engn &amp; Nat Sci, Kaskelen, Kazakhstan; [Oliveira, Wilk; Hamari, Juho] Tampere Univ, Fac Informat Technol &amp; Commun Sci, Gamificat Grp, Tampere, Finland</t>
  </si>
  <si>
    <t>Suleyman Demirel University - Kazakhstan; Tampere University</t>
  </si>
  <si>
    <t>Soltiyeva, A (corresponding author), Suleyman Demirel Univ, Fac Engn &amp; Nat Sci, Kaskelen, Kazakhstan.;Oliveira, W (corresponding author), Tampere Univ, Fac Informat Technol &amp; Commun Sci, Gamificat Grp, Tampere, Finland.</t>
  </si>
  <si>
    <t>aiganym.soltiyeva@sdu.edu.kz; wilk.oliveira@tuni.fi</t>
  </si>
  <si>
    <t>Hamari, Juho/E-4989-2016; Soltiyeva, Aiganym/IAQ-3401-2023; Urmanov, Marat/JMB-2987-2023; Oliveira, Wilk/ABB-1063-2021; Alimanova, Madina/P-7530-2017</t>
  </si>
  <si>
    <t>Soltiyeva, Aiganym/0000-0002-8178-6871; Alimanova, Madina/0000-0002-7282-0820</t>
  </si>
  <si>
    <t>Suleyman Demirel University; Academy of Finland Flagship Programme [337653]</t>
  </si>
  <si>
    <t>Suleyman Demirel University(Suleyman Demirel University); Academy of Finland Flagship Programme</t>
  </si>
  <si>
    <t>The authors would like to thank the staff, parents, participating children, and the director of the Children's correctional center Intensive+ for their engagement with this study. This work has been supported by Suleyman Demirel University Internal Research Funding. This work has been supported by the Academy of Finland Flagship Programme [Grant No. 337653 - Forest-Human-Machine Interplay (UNITE)].</t>
  </si>
  <si>
    <t>10.1007/s10639-023-11862-x</t>
  </si>
  <si>
    <t>MAY 2023</t>
  </si>
  <si>
    <t>AW8S5</t>
  </si>
  <si>
    <t>WOS:000993028600007</t>
  </si>
  <si>
    <t>Satu, P; Minna, L; Satu, S</t>
  </si>
  <si>
    <t>Satu, Paavola; Minna, Laakso; Satu, Saalasti</t>
  </si>
  <si>
    <t>Immersive VR Assessment and Intervention Research of Individuals with Neurodevelopmental Disorders Is Dominated by ASD and ADHD: a Scoping Review</t>
  </si>
  <si>
    <t>Attention deficit hyperactivity disorder; Autism spectrum disorder; Guidance Immersive virtual reality; Neurodevelopmental disorders; Task design</t>
  </si>
  <si>
    <t>DEFICIT HYPERACTIVITY DISORDER; VIRTUAL-REALITY; SOCIAL-SKILLS; CHILDREN; ATTENTION; PERFORMANCE; TECHNOLOGY; STATE; METHYLPHENIDATE; CHILDHOOD</t>
  </si>
  <si>
    <t>In this scoping review on 34 studies, we examined the use of immersive virtual reality (IVR) in neurodevelopmental disorders (NDD). IVR was mostly used in connection with autism spectrum disorder (ASD) for assessment of and intervention in social skills, and in attention deficit hyperactivity disorder (ADHD) for assessment of executive performance. Diagnostic measures varied or were not available, and the level of evidence was generally observational/descriptive. Furthermore, few studies reported on feasibility and user experience and even fewer on human guidance and the generalization of intervention to everyday life. Our results suggest that human guidance during and after immersive VR may be crucial for generalization of skills. More research on IVR in other NDDs is needed.</t>
  </si>
  <si>
    <t>[Satu, Paavola; Minna, Laakso; Satu, Saalasti] Univ Helsinki, Fac Med, Dept Psychol &amp; Logoped, Helsinki, Finland; [Satu, Paavola] Helsinki Univ Hosp, New Childrens Hosp, Helsinki, Finland</t>
  </si>
  <si>
    <t>University of Helsinki; University of Helsinki; Helsinki University Central Hospital</t>
  </si>
  <si>
    <t>Satu, P (corresponding author), Univ Helsinki, Fac Med, Dept Psychol &amp; Logoped, Helsinki, Finland.;Satu, P (corresponding author), Helsinki Univ Hosp, New Childrens Hosp, Helsinki, Finland.</t>
  </si>
  <si>
    <t>satu.paavola@helsinki.fi</t>
  </si>
  <si>
    <t>Paavola, Satu/0000-0002-4061-2613; Saalasti, Satu/0000-0003-1544-1215</t>
  </si>
  <si>
    <t>University of Helsinki including Helsinki University Central Hospital; Finnish Brain Foundation [20200016]</t>
  </si>
  <si>
    <t>University of Helsinki including Helsinki University Central Hospital; Finnish Brain Foundation</t>
  </si>
  <si>
    <t>Open Access funding provided by University of Helsinki including Helsinki University Central Hospital. Satu Paavola has received partial funding from Finnish Brain Foundation (grant number 20200016).</t>
  </si>
  <si>
    <t>10.1007/s40489-023-00377-3</t>
  </si>
  <si>
    <t>0KO7A</t>
  </si>
  <si>
    <t>WOS:000982980200003</t>
  </si>
  <si>
    <t>Gu, PD; Xu, XH; Qian, XQ; Weng, TH</t>
  </si>
  <si>
    <t>Gu, Peidi; Xu, Xinhao; Qian, Xueqin; Weng, Tsung-Han</t>
  </si>
  <si>
    <t>Leveraging Extended Reality for Autistic Individuals: A Scoping Review of Technical Features and Technology Affordances</t>
  </si>
  <si>
    <t>X reality; Autism; Human computer interaction; Affordances; Virtual reality; Training; Mixed reality; Augmented reality (AR); autism; extended reality (XR); mixed reality (MR); virtual reality (VR)</t>
  </si>
  <si>
    <t>VIRTUAL LEARNING-ENVIRONMENT; HEAD-MOUNTED DISPLAYS; AUGMENTED REALITY; SPECTRUM DISORDER; SOCIAL-SKILLS; JOINT ATTENTION; JOB OFFERS; CHILDREN; ADOLESCENTS; ADULTS</t>
  </si>
  <si>
    <t>Multiple studies have examined learning and training for autistic students to improve their quality of life by using eXtended-Reality (XR) technologies, which mainly include virtual reality (VR), augmented reality (AR), and mixed reality (MR). Nevertheless, little is known about how technical features and technology affordances of the XR environment are used and addressed in these studies. In this article, we had reviewed 66 empirical studies regarding XR for autistic individuals and examined the corresponding research designs from 3 major dimensions, namely, autonomy (i.e., the degree of freedom users have), human-computer interaction, and the sense of presence. We then investigated the technical features and technology affordances in these studies through the lenses of these three dimensions. Fifty-four (81.82%) studies used VR as their interventional tool, eleven (16.67%) studies used AR, and only one (1.52%) study used MR. Results showed that the use of different XR platforms is closely related to the technical features, technology affordances, and study characteristics. We further provided an extraction of the essentials that serve as a practical reference for educational researchers and practitioners to inspect the design and implementation of XR technologies in learning and training environments for autistic students.</t>
  </si>
  <si>
    <t>[Gu, Peidi; Weng, Tsung-Han] Beijing Normal Univ, Coll Educ Future, Zhuhai Campus, Zhuhai 519088, Peoples R China; [Xu, Xinhao] Univ Missouri, Sch Informat Sci &amp; Learning Technol, Columbia, MO 65211 USA; [Qian, Xueqin] Sunrise Autism, Auburn, AL 36830 USA; [Weng, Tsung-Han] Beijing Normal Univ, Fac Arts &amp; Sci, Zhuhai Campus, Zhuhai 519088, Peoples R China</t>
  </si>
  <si>
    <t>Beijing Normal University; Beijing Normal University Zhuhai; University of Missouri System; University of Missouri Columbia; Beijing Normal University; Beijing Normal University Zhuhai</t>
  </si>
  <si>
    <t>Xu, XH (corresponding author), Univ Missouri, Sch Informat Sci &amp; Learning Technol, Columbia, MO 65211 USA.</t>
  </si>
  <si>
    <t>jarypig1983@gmail.com; xuxinhao@missouri.edu; qianx035@umn.edu; thweng@ku.edu</t>
  </si>
  <si>
    <t>; Xu, Xinhao/L-2992-2019</t>
  </si>
  <si>
    <t>Gu, Peidi/0000-0002-8363-8012; Xu, Xinhao/0000-0002-4981-4641; , Xueqin/0000-0001-7026-0375</t>
  </si>
  <si>
    <t>FEB 1</t>
  </si>
  <si>
    <t>10.1109/TLT.2022.3197430</t>
  </si>
  <si>
    <t>9F0FN</t>
  </si>
  <si>
    <t>WOS:000937152500011</t>
  </si>
  <si>
    <t>van Pelt, BJ; Nijman, SA; van Haren, NEM; Veling, W; Pijnenborg, GHM; van Balkom, IDC; Landlust, AM; Greaves-Lord, K</t>
  </si>
  <si>
    <t>van Pelt, B. J.; Nijman, S. A.; van Haren, N. E. M.; Veling, W.; Pijnenborg, G. H. M.; van Balkom, I. D. C.; Landlust, A. M.; Greaves-Lord, K.</t>
  </si>
  <si>
    <t>Dynamic Interactive Social Cognition Training in Virtual Reality (DiSCoVR) for adults with Autism Spectrum Disorder: A feasibility study</t>
  </si>
  <si>
    <t>Social cognition training; Virtual reality; Autism spectrum disorder; Emotion perception; Theory of mind; Social functioning</t>
  </si>
  <si>
    <t>NEGATIVE EVALUATION; ANXIETY; FEAR; SCHIZOPHRENIA; MIND; INTERVENTIONS; ADOLESCENTS; QUOTIENT; CHILDREN; EMPATHY</t>
  </si>
  <si>
    <t>Background: Social cognitive difficulties in Autism Spectrum Disorder (ASD) can affect the daily lives of people with ASD profoundly, impacting the development and maintenance of meaningful social relations. Social cognition training (SCT) is commonly used for improving social functioning, but lacks ecological validity and the ability to effectively mimic social situations. Development of virtual reality (VR) interventions, focusing on enhancing social cognition, could add to the effectiveness of SCT within ASD care, by offering a safe, interactive and practical training setting, where generalization of knowledge and skills to the real-world are promoted. In this paper, our primary aim is to evaluate the feasibility and acceptance by participants and therapists of the Dynamic Interactive Social Cognition Method: Training in Virtual Reality (DiSCoVR) protocol as developed for adults with schizophrenic spectrum disorder (SSD), adapted for ASD (DiSCoVR-A). 26 participants, aged 18-63, took part in a pilot study. 22 participants completed baseline and post-assessment, including primary outcome evaluation assessment through a semi-structured interview. Secondary measures focused on social cognition, emotion recognition, mental flexibility, social anxiety, empathy and social responsiveness and were assessed at baseline (T0), post-treatment (T1), and at follow-up (T2) sixteen weeks after completion of the intervention. Results: Our results show that the majority of participant and therapists found the VR intervention acceptable and feasible, as reported in evaluation questionnaires and interviews. Conclusion: These preliminary findings are promising; however, controlled research is needed to further investigate the effectiveness of VR within social cognition training for adults with ASD.</t>
  </si>
  <si>
    <t>[van Pelt, B. J.; van Haren, N. E. M.; Greaves-Lord, K.] Erasmus MC Sophia, Dept Child &amp; Adolescent Psychiat Psychol, Wytemaweg 8, NL-3015 CN Rotterdam, Netherlands; [van Pelt, B. J.] Yulius Org Mental Hlth, Burg Raadtsingel 93C, NL-3311 JG Dordrecht, Netherlands; [Nijman, S. A.] GGZ Drenthe, Dept Psychot Disorders, Dennenweg 9,POB 30007, NL-9404 LA Assen, Netherlands; [Nijman, S. A.; Veling, W.] Univ Groningen, Univ Ctr Psychiat, Univ Med Ctr Groningen, Hanzeplein 1,POB 30001, NL-9700 RB Groningen, Netherlands; [van Balkom, I. D. C.; Landlust, A. M.; Greaves-Lord, K.] Lentis Psychiat Inst, Jonx Dept Youth Mental Hlth &amp; Autism, Autism Team Northern Netherlands, Groningen, Netherlands; [van Balkom, I. D. C.] Univ Med Ctr Groningen, Rob Giel Res Ctr, Dept Psychiat, Groningen, Netherlands; [Landlust, A. M.] Univ Med Ctr Groningen, Dept Genet, Groningen, Netherlands; [Pijnenborg, G. H. M.; Greaves-Lord, K.] Rijksuniversiteit Groningen RuG, Dept Psychol, Clin Psychol &amp; Expt Psychopathol Unit, Grote Kruisstraat 2-1, NL-9712 TS Groningen, Netherlands</t>
  </si>
  <si>
    <t>Erasmus University Rotterdam; Erasmus MC; University of Groningen; University of Groningen; University of Groningen</t>
  </si>
  <si>
    <t>van Pelt, BJ (corresponding author), Yulius Org Mental Hlth, Burg Raadtsingel 93C, NL-3311 JG Dordrecht, Netherlands.</t>
  </si>
  <si>
    <t>b.vanpelt@yulius.nl</t>
  </si>
  <si>
    <t>van Haren, Neeltje/AAC-7656-2020; Pijnenborg, Gerdina/A-7437-2011</t>
  </si>
  <si>
    <t>Veling, Wim/0000-0002-1364-9779; Nijman, Saskia/0000-0002-7214-6610; van Pelt, BJ/0000-0003-0887-7440</t>
  </si>
  <si>
    <t>Dutch philanthropic foundation</t>
  </si>
  <si>
    <t>We would like to thank all our participants and therapists who participated in the study. The study was supported and funded by a Dutch philanthropic foundation that is committed to improving treatment in (young) adults with autism. The Foundation has had no influence in the design of the study, data collection, analysis or interpretation of data, publication of results or writing this manuscript.</t>
  </si>
  <si>
    <t>10.1016/j.rasd.2022.102003</t>
  </si>
  <si>
    <t>JUL 2022</t>
  </si>
  <si>
    <t>3D7KY</t>
  </si>
  <si>
    <t>WOS:000829477400001</t>
  </si>
  <si>
    <t>Kouhbanani, SS; Khosrorad, R; Zarenezhad, S; Arabi, SM</t>
  </si>
  <si>
    <t>Kouhbanani, Sakineh Soltani; Khosrorad, Razieh; Zarenezhad, Somayeh; Arabi, Seyedeh Manizheh</t>
  </si>
  <si>
    <t>Comparing the Effect of Risperidone, Virtual Reality and Risperidone on Social Skills, and Behavioral Problems in Children with Autism: A Follow-up Randomized Clinical Trial</t>
  </si>
  <si>
    <t>ARCHIVES OF IRANIAN MEDICINE</t>
  </si>
  <si>
    <t>Autism spectrum disorder; Behavioral problems; Risperidone; Social skills; Virtual reality</t>
  </si>
  <si>
    <t>PERVASIVE DEVELOPMENTAL DISORDERS; SPECTRUM DISORDER; DOUBLE-BLIND; SYSTEM</t>
  </si>
  <si>
    <t>Background: Improving behavioral and social problems in children with autism requires extensive training programs even with parents at home. The main goal of this study is to design a virtual reality (VR) intervention based on the TEACCH method in combination with risperidone to evaluate its effectiveness on social and behavioral problems. Methods: Forty-three children with autism (6-12 years old) randomly were divided into three groups: risperidone (n = 15), risperidone + VR (n = 15), and control (n = 13). The interventions lasted for 3 months (90 sessions) and post-test assessments were done immediately after intervention. Follow up tests were done 3 months after that. Results: Risperidone + VR group showed significant differences in social skills (MD = 36.59; 95% CI: 30.74 to 38.42, P &lt; 0.001, g2 = 1.51 in post-test; MD = 19.63; 95% CI: 17.27 to 21.63, P &lt; 0.001, g2 = 0.86 in follow up); and behavioral symptoms (MD =-36.12 ; 95% CI:-39.72 to-36.91, P &lt; 0.001, g2 = 1.99 in post-test; MD =-28.82 ; 95% CI:-29.43 to-25.32, P &lt; 0.001, g2 = 1.58 in follow up) compared to the control group. However, the risperidone group showed significant differences in social skills (MD = 2.03; 95% CI: 0.82 to 3.67, P &lt; 0.001, g2 = 0.12) and behavioral symptoms (MD =-36.66; 95% CI:-38.96 to-34.27, P&lt; 0.001, g2 = 1.96) only in post-test. Thus, the experimental groups did not have any significant difference in post-test. Conclusion: Combined interventions such as VR can enhance the effectiveness of risperidone response and boost children's preparedness to practice and learn social interaction.</t>
  </si>
  <si>
    <t>[Kouhbanani, Sakineh Soltani; Zarenezhad, Somayeh] Ferdowsi Univ Mashhad, Educ Sci &amp; Psychol Fac, Dept Educ Sci, Mashhad, Razavi Khorasan, Iran; [Khosrorad, Razieh] Sabzevar Univ Med Sci, Hlth Fac, Dept Hlth Educ, Sabzevar, Iran; [Arabi, Seyedeh Manizheh] Bu Ali Sina Univ, Dept Motor Behav, Fac Phys Educ &amp; Sport Sci, Hamadan, Hamadan, Iran</t>
  </si>
  <si>
    <t>Ferdowsi University Mashhad; Bu Ali Sina University</t>
  </si>
  <si>
    <t>Kouhbanani, SS (corresponding author), Ferdowsi Univ Mashhad, Educ Sci &amp; Psychol Fac, Dept Educ Sci, Mashhad, Razavi Khorasan, Iran.</t>
  </si>
  <si>
    <t>s.soltani@um.ac.ir</t>
  </si>
  <si>
    <t>Khosrorad, Razieh/L-2207-2017; Arabi, manizheh/AAB-7353-2022</t>
  </si>
  <si>
    <t>ACAD MEDICAL SCIENCES I R IRAN</t>
  </si>
  <si>
    <t>TEHRAN</t>
  </si>
  <si>
    <t>PO BOX 19395-5655, TEHRAN, 00000, IRAN</t>
  </si>
  <si>
    <t>1029-2977</t>
  </si>
  <si>
    <t>1735-3947</t>
  </si>
  <si>
    <t>ARCH IRAN MED</t>
  </si>
  <si>
    <t>Arch. Iran. Med.</t>
  </si>
  <si>
    <t>10.34172/aim.2021.76</t>
  </si>
  <si>
    <t>UG8VP</t>
  </si>
  <si>
    <t>WOS:000689522800003</t>
  </si>
  <si>
    <t>Papathomas, P; Goldschmidt, K</t>
  </si>
  <si>
    <t>Papathomas, Pelagia; Goldschmidt, Karen</t>
  </si>
  <si>
    <t>Utilizing virtual reality and immersion video technology as a focused learning tool for children with autism spectrum disorder</t>
  </si>
  <si>
    <t>JOURNAL OF PEDIATRIC NURSING-NURSING CARE OF CHILDREN &amp; FAMILIES</t>
  </si>
  <si>
    <t>Virtual reality; ASD; Technology; Autism spectrum disorder; Learning tool</t>
  </si>
  <si>
    <t>DESIGN</t>
  </si>
  <si>
    <t>[Papathomas, Pelagia; Goldschmidt, Karen] Drexel Univ, Philadelphia, PA 19104 USA</t>
  </si>
  <si>
    <t>Drexel University</t>
  </si>
  <si>
    <t>Papathomas, P (corresponding author), Drexel Univ, Philadelphia, PA 19104 USA.</t>
  </si>
  <si>
    <t>peggypapathomas@gmail.com; Kag69@drexel.edu</t>
  </si>
  <si>
    <t>ELSEVIER SCIENCE INC</t>
  </si>
  <si>
    <t>360 PARK AVE SOUTH, NEW YORK, NY 10010-1710 USA</t>
  </si>
  <si>
    <t>0882-5963</t>
  </si>
  <si>
    <t>J PEDIATR NURS</t>
  </si>
  <si>
    <t>J. Pediatr. Nurs.</t>
  </si>
  <si>
    <t>10.1016/j.pedn.2017.01.013</t>
  </si>
  <si>
    <t>Nursing; Pediatrics</t>
  </si>
  <si>
    <t>FB8ND</t>
  </si>
  <si>
    <t>WOS:000406394800004</t>
  </si>
  <si>
    <t>Schmidt, M; Newbutt, N; Lee, M; Lu, J; Francois, MS; Antonenko, PD; Glaser, N</t>
  </si>
  <si>
    <t>Schmidt, Matthew; Newbutt, Nigel; Lee, Minyoung; Lu, Jie; Francois, Marc-Sonley; Antonenko, Pavlo D.; Glaser, Noah</t>
  </si>
  <si>
    <t>Toward a strengths-based model for designing virtual reality learning experiences for autistic users</t>
  </si>
  <si>
    <t>autism; design framework; strengths-based approach; user-centered design; virtual reality</t>
  </si>
  <si>
    <t>HEAD-MOUNTED DISPLAYS; QUALITY-OF-LIFE; PSYCHIATRIC-DISORDERS; SPECTRUM DISORDERS; AUGMENTED REALITY; DECISION-MAKING; SOCIAL MODEL; DISABILITY; SUPPORT; ADULTS</t>
  </si>
  <si>
    <t>This study presents a strengths-based framework for designing virtual reality experiences tailored to the needs and abilities of autistic individuals. Recognizing the potential of virtual reality to provide engaging and immersive learning environments, the framework aligns the strengths and preferences of autistic users with the affordances of virtual reality platforms. Drawing on the existing literature and empirical findings, the framework highlights key areas of alignment, including visual perception, anxiety management, attention to differences, concrete thinking, and response to positive feedback. The framework emphasizes the importance of involving autistic individuals in the co-design and co-creation of virtual reality technologies to ensure a more tailored and preferred user experience. By adopting a strengths-based approach and actively involving autistic individuals, the design and implementation of virtual reality interventions can better address their unique needs and foster positive outcomes. The study concludes by advocating for continued research and collaboration to advance the field of virtual reality technology for autistic individuals and to work toward shared goals with the autistic community. Lay abstract Virtual reality has been studied for its potential in supporting individuals with autism, but existing research often focuses on deficits and lacks consideration of individual preferences and strengths. This article introduces a framework that emphasizes the strengths and abilities of autistic individuals when designing virtual reality interventions. It builds upon an existing taxonomy of educational technology affordances and extends it to align with the unique needs of autistic individuals. The framework provides guidance for incorporating virtual reality technology that supports and amplifies autistic strengths, such as visual perception and response to positive feedback. The framework has implications for practice, research, and policy. For practitioners, it offers a tool for designing virtual reality experiences that cater to the strengths of autistic individuals, enhancing engagement and educational outcomes. Researchers can utilize the framework to guide the development of user-centered virtual reality interventions and expand our understanding of the potential benefits of virtual reality for autistic populations. Policymakers and educators can consider this framework when incorporating virtual reality into educational settings, ensuring that virtual reality technology is used in a way that aligns with the strengths and needs of autistic learners. Overall, the framework promotes a strengths-based approach in utilizing virtual reality technology for individuals with autism, fostering inclusivity and maximizing the benefits of immersive experiences.</t>
  </si>
  <si>
    <t>[Schmidt, Matthew] Univ Georgia, Athens, GA 30602 USA; [Newbutt, Nigel; Lee, Minyoung; Lu, Jie; Francois, Marc-Sonley; Antonenko, Pavlo D.] Univ Florida, Gainesville, FL 32611 USA; [Glaser, Noah] Univ Missouri, Columbia, MO 65211 USA</t>
  </si>
  <si>
    <t>University System of Georgia; University of Georgia; State University System of Florida; University of Florida; University of Missouri System; University of Missouri Columbia</t>
  </si>
  <si>
    <t>Schmidt, M (corresponding author), Univ Georgia, Rivers Crossing 226, Athens, GA 30602 USA.</t>
  </si>
  <si>
    <t>matthew.schmidt@uga.edu</t>
  </si>
  <si>
    <t>Glaser, Noah/HNR-3521-2023; Francois, Marc/JCN-8502-2023; Antonenko, Pavlo/GPK-6167-2022</t>
  </si>
  <si>
    <t>Lu, Jie Jennifer/0000-0002-7466-6177; Schmidt, Matthew/0000-0002-8110-4367</t>
  </si>
  <si>
    <t>University of Florida Center for Autism and Neurodevelopment</t>
  </si>
  <si>
    <t>10.1177/13623613231208579</t>
  </si>
  <si>
    <t>NOV 2023</t>
  </si>
  <si>
    <t>UX4B4</t>
  </si>
  <si>
    <t>WOS:001098508700001</t>
  </si>
  <si>
    <t>Chu, LT; Shen, L; Ma, CH; Chen, JJ; Tian, Y; Zhang, CC; Gong, ZL; Li, MF; Wang, CJ; Pan, LZ; Zhu, PY; Wu, DM; Wang, Y; Yu, GJ</t>
  </si>
  <si>
    <t>Chu, Liting; Shen, Li; Ma, Chenhuan; Chen, Jinjin; Tian, Yuan; Zhang, Chuncao; Gong, Zilan; Li, Mengfan; Wang, Chengjie; Pan, Lizhu; Zhu, Peiying; Wu, Danmai; Wang, Yu; Yu, Guangjun</t>
  </si>
  <si>
    <t>Effects of a Nonwearable Digital Therapeutic Intervention on Preschoolers With Autism Spectrum Disorder in China: Open-Label Randomized Controlled Trial</t>
  </si>
  <si>
    <t>JOURNAL OF MEDICAL INTERNET RESEARCH</t>
  </si>
  <si>
    <t>autism spectrum disorder; digital therapy; nonwearable; preschoolers; randomized controlled trial; autism; neurodevelopmental disorder; difficulty with communication; social interaction; ADHD; attention-deficit/hyperactivity disorder; digital therapy; digital intervention</t>
  </si>
  <si>
    <t>SEX-DIFFERENCES; CLASSIFICATION; DIAGNOSIS; CHILDREN</t>
  </si>
  <si>
    <t>Background: Autism spectrum disorder (ASD) is a neurodevelopmental disorder that can cause difficulty with communication and social interactions as well as complicated family dynamics. Digital health interventions can reduce treatment costs and promote healthy lifestyle changes. These therapies can be adjunctive or replace traditional treatments. However, issues with cooperation and compliance prevent preschool patients with ASD from applying these tools. In this open-label, randomized controlled trial, we developed a nonwearable digital therapy called virtual reality-incorporated cognitive behavioral therapy (VR-CBT). Objective: The aim of this study was to assess the adjunctive function of VR-CBT by comparing the effects of VR-CBT plus learning style profile (LSP) intervention with those of LSP-only intervention in preschool children with ASD. Methods: This trial was performed in China on 78 preschool children (age 3-6 years, IQ&gt;70) diagnosed with ASD who were randomized to receive a 20-week VR-CBT plus LSP intervention (intervention group, 39/78, 50%) or LSP intervention only (control group, 39/78, 50%). The primary outcome was the change of scores from baseline to week 20, assessed by using the parent-rated Autism Behavior Checklist (ABC). Secondary outcomes included the Childhood Autism Rating Scale (CARS), Attention-Deficit/Hyperactivity Disorder Rating Scale-IV (ADHD-RS-IV), and behavioral performance data (accuracy and reaction time) in go/no-go tasks. All primary and secondary outcomes were analyzed in the intention-to-treat population. Results: After the intervention, there was an intervention effect on total ABC (beta=-5.528; P&lt;.001) and CARS scores (beta=-1.365; P=.02). A similar trend was observed in the ABC subscales: sensory (beta=-1.133; P=.047), relating (beta=-1.512; P=.03), body and object use (beta=-1.211; P=.03), and social and self-help (beta=-1.593; P=.03). The intervention also showed statistically significant effects in improving behavioral performance (go/no-go task, accuracy, beta=2.923; P=.04). Moreover, a significant improvement of ADHD hyperactivity-impulsivity symptoms was observed in 53 children with comorbid ADHD based on ADHD-RS-IV (beta=-1.269; P=.02). No statistically significant intervention effect was detected in the language subscale of ABC (beta=-.080; P=.83). Intervention group girls had larger improvements in ABC subscales, that is, sensory and body and object use and in the CARS score and accuracy of go/no-go task (all P&lt;.05) than the control group girls. Statistically significant intervention effects could be observed in hyperactivity-impulsivity symptoms in the intervention group boys with comorbid ADHD compared with those in the control group boys (beta=-1.333; P=.03).Conclusions: We found potentially positive effects of nonwearable digital therapy plus LSP on core symptoms associated with ASD, leading to a modest improvement in the function of sensory, motor, and response inhibition, while reducing impulsivity and hyperactivity in preschoolers with both ASD and ADHD. VR-CBT was found to be an effective and feasible adjunctive digital tool. Trial Registration:</t>
  </si>
  <si>
    <t>[Chu, Liting; Ma, Chenhuan; Chen, Jinjin; Tian, Yuan; Zhang, Chuncao; Gong, Zilan; Li, Mengfan; Wang, Chengjie; Pan, Lizhu; Zhu, Peiying; Wu, Danmai; Wang, Yu; Yu, Guangjun] Shanghai Jiao Tong Univ, Shanghai Childrens Hosp, Sch Med, Dept Child Hlth Care, Shanghai, Peoples R China; [Chu, Liting] Shanghai Municipal Ctr Dis Control &amp; Prevent, Div Child &amp; Adolescent Hlth, Shanghai, Peoples R China; [Shen, Li] Shanghai Jiao Tong Univ, Affiliated Peoples Hosp 6, Ctr Translat Med, Shanghai, Peoples R China; [Yu, Guangjun] Chinese Univ Hong Kong, Sch Med, 2001 Longxiang Ave, Shenzhen 518172, Peoples R China</t>
  </si>
  <si>
    <t>Shanghai Jiao Tong University; Shanghai Center for Disease Control &amp; Prevention; Shanghai Jiao Tong University; The Chinese University of Hong Kong, Shenzhen</t>
  </si>
  <si>
    <t>Yu, GJ (corresponding author), Chinese Univ Hong Kong, Sch Med, 2001 Longxiang Ave, Shenzhen 518172, Peoples R China.</t>
  </si>
  <si>
    <t>guangjunyu@cuhk.edu.cn</t>
  </si>
  <si>
    <t>Wang, Chengjie/KVY-6508-2024; Zhu, peiying/KIL-4285-2024</t>
  </si>
  <si>
    <t>TIAN, yuan/0000-0002-3084-7689; Ma, Chenhuan/0009-0001-2247-4878; Chu, Liting/0000-0002-8703-8479</t>
  </si>
  <si>
    <t>General Program of the National Natural Science Foundation [71874110]; Major Research Plan Project of the National Natural Science Foundation [91846302]; special key project for clinical research and cultivation of Shanghai Children's Hospital affiliated to Shanghai Jiao Tong University School of Medicine [2021YLYZ02]; Shanghai Health and Hygiene Commission on Aging and Maternal and Child Health [2020YJZX0207]; 3-year action plan for the construction of the Shanghai public health system [GWV-10.1-XK14]</t>
  </si>
  <si>
    <t>General Program of the National Natural Science Foundation; Major Research Plan Project of the National Natural Science Foundation(National Natural Science Foundation of China (NSFC)); special key project for clinical research and cultivation of Shanghai Children's Hospital affiliated to Shanghai Jiao Tong University School of Medicine; Shanghai Health and Hygiene Commission on Aging and Maternal and Child Health; 3-year action plan for the construction of the Shanghai public health system</t>
  </si>
  <si>
    <t>This work was supported by the General Program of the National Natural Science Foundation (71874110), Major Research Plan Project of the National Natural Science Foundation (91846302), special key project for clinical research and cultivation of Shanghai Children's Hospital affiliated to Shanghai Jiao Tong University School of Medicine (2021YLYZ02), project of the Shanghai Health and Hygiene Commission on Aging and Maternal and Child Health (2020YJZX0207), and 3-year action plan for the construction of the Shanghai public health system (GWV-10.1-XK14).</t>
  </si>
  <si>
    <t>130 QUEENS QUAY East, Unit 1100, TORONTO, ON M5A 0P6, CANADA</t>
  </si>
  <si>
    <t>1438-8871</t>
  </si>
  <si>
    <t>J MED INTERNET RES</t>
  </si>
  <si>
    <t>J. Med. Internet Res.</t>
  </si>
  <si>
    <t>AUG 24</t>
  </si>
  <si>
    <t>e45836</t>
  </si>
  <si>
    <t>10.2196/45836</t>
  </si>
  <si>
    <t>Health Care Sciences &amp; Services; Medical Informatics</t>
  </si>
  <si>
    <t>R5SF8</t>
  </si>
  <si>
    <t>WOS:001064943000005</t>
  </si>
  <si>
    <t>Liu, XY; Zhao, WB; Qi, Q; Luo, X</t>
  </si>
  <si>
    <t>Liu, Xiongyi; Zhao, Wenbing; Qi, Quan; Luo, Xiong</t>
  </si>
  <si>
    <t>A Survey on Autism Care, Diagnosis, and Intervention Based on Mobile Apps Focusing on Usability and Software Design</t>
  </si>
  <si>
    <t>autism; mobile apps; smartphones; user-centered design; augmentative and alternative communication; video modeling; virtual reality; gamification; behavior change techniques; cognitive behavioral training; behavior modeling training</t>
  </si>
  <si>
    <t>ALTERNATIVE COMMUNICATION; TEACHING-CHILDREN; SPECTRUM DISORDER; YOUNG-CHILDREN; REALITY; ADOLESCENTS; STUDENTS; BEHAVIOR; TOOL</t>
  </si>
  <si>
    <t>This article presents a systematic review on autism care, diagnosis, and intervention based on mobile apps running on smartphones and tablets. Here, the term intervention means a carefully planned set of activities with the objective of improving autism symptoms. We guide our review on related studies using five research questions. First, who benefits the most from these mobile apps? Second, what are the primary purposes of these mobile apps? Third, what mechanisms have been incorporated in these mobiles apps to improve usability? Fourth, what guidelines have been used in the design and implementation of these mobile apps? Fifth, what theories and frameworks have been used as the foundation for these mobile apps to ensure the intervention effectiveness? As can be seen from these research questions, we focus on the usability and software development of the mobile apps. Informed by the findings of these research questions, we propose a taxonomy for the mobile apps and their users. The mobile apps can be categorized into autism support apps, educational apps, teacher training apps, parental support apps, and data collection apps. The individuals with autism spectrum disorder (ASD) are the primary users of the first two categories of apps. Teachers of children with ASD are the primary users of the teacher training apps. Parents are the primary users of the parental support apps, while individuals with ASD are usually the primary users of the data collection apps and clinicians and autism researchers are the beneficiaries. Gamification, virtual reality, and autism-specific mechanisms have been used to improve the usability of the apps. User-centered design is the most popular approach for mobile app development. Augmentative and alternative communication, video modeling, and various behavior change practices have been used as the theoretical foundation for intervention efficacy.</t>
  </si>
  <si>
    <t>[Liu, Xiongyi] Cleveland State Univ, Dept Curriculum &amp; Fdn, Cleveland, OH 44115 USA; [Zhao, Wenbing] Cleveland State Univ, Dept Elect &amp; Comp Engn, Cleveland, OH 44115 USA; [Qi, Quan] Shihezi Univ, Coll Informat Sci &amp; Technol, Shihezi 832003, Peoples R China; [Luo, Xiong] Univ Sci &amp; Technol Beijing, Sch Comp &amp; Commun Engn, Beijing 100083, Peoples R China</t>
  </si>
  <si>
    <t>University System of Ohio; Cleveland State University; University System of Ohio; Cleveland State University; Shihezi University; University of Science &amp; Technology Beijing</t>
  </si>
  <si>
    <t>Zhao, WB (corresponding author), Cleveland State Univ, Dept Elect &amp; Comp Engn, Cleveland, OH 44115 USA.</t>
  </si>
  <si>
    <t>x.liu6@csuohio.edu; wenbing@ieee.org; q.qi@ieee.org; xluo@ustb.edu.cn</t>
  </si>
  <si>
    <t>Liu, Xiongyi/GQP-1930-2022; Zhao, Wenbing/H-5498-2019; Luo, Xiong/P-4343-2016; Qi, Quan/R-1843-2018</t>
  </si>
  <si>
    <t>Zhao, Wenbing/0000-0002-3202-1127; Qi, Quan/0000-0003-3088-6319; Luo, Xiong/0000-0002-1929-8447</t>
  </si>
  <si>
    <t>10.3390/s23146260</t>
  </si>
  <si>
    <t>S5FO6</t>
  </si>
  <si>
    <t>WOS:001071425700001</t>
  </si>
  <si>
    <t>Amat, AZ; Adiani, D; Tauseef, M; Breen, M; Hunt, S; Swanson, AR; Weitlauf, AS; Warren, ZE; Sarkar, N</t>
  </si>
  <si>
    <t>Amat, Ashwaq Z. Z.; Adiani, Deeksha; Tauseef, Mahrukh; Breen, Michael; Hunt, Spencer; Swanson, Amy R.; Weitlauf, Amy S. S.; Warren, Zachary E. E.; Sarkar, Nilanjan</t>
  </si>
  <si>
    <t>Design of a Desktop Virtual Reality-Based Collaborative Activities Simulator (ViRCAS) to Support Teamwork in Workplace Settings for Autistic Adults</t>
  </si>
  <si>
    <t>Task analysis; Teamwork; Employment; Behavioral sciences; Virtual environments; Training; Stakeholders; Intelligent system; virtual reality; collaborative virtual environment; human computer interaction; autism; teamwork</t>
  </si>
  <si>
    <t>YOUNG-ADULTS; SPECTRUM DISORDERS; ADOLESCENTS; EMPLOYMENT; INTERVENTION; CHILDREN</t>
  </si>
  <si>
    <t>Autistic adults possess many skills sought by employers, but may be at a disadvantage in the workplace if social-communication differences negatively impact teamwork. We present a novel collaborative virtual reality (VR)-based activities simulator, called ViRCAS, that allows autistic and neurotypical adults to work together in a shared virtual space, offering the chance to practice teamwork and assess progress. ViRCAS has three main contributions: 1) a new collaborative teamwork skills practice platform; 2) a stakeholder-driven collaborative task set with embedded collaboration strategies; and 3) a framework for multimodal data analysis to assess skills. Our feasibility study with 12 participant pairs showed preliminary acceptance of ViRCAS, a positive impact of the collaborative tasks on supported teamwork skills practice for autistic and neurotypical individuals, and promising potential to quantitatively assess collaboration through multimodal data analysis. The current work paves the way for longitudinal studies that will assess whether the collaborative teamwork skill practice that ViRCAS provides also contributes towards improved task performance.</t>
  </si>
  <si>
    <t>[Amat, Ashwaq Z. Z.; Tauseef, Mahrukh] Vanderbilt Univ, Dept Elect &amp; Comp Engn, Nashville, TN 37235 USA; [Adiani, Deeksha; Sarkar, Nilanjan] Vanderbilt Univ, Dept Comp Sci, Nashville, TN 37235 USA; [Breen, Michael; Hunt, Spencer] Vanderbilt Univ, Dept Mech Engn, Nashville, TN 37235 USA; [Swanson, Amy R.] Treatment &amp; Res Inst Autism Spectrum Disorders, Nashville, TN 37232 USA; [Weitlauf, Amy S. S.; Warren, Zachary E. E.] Vanderbilt Univ, Med Ctr, Dept Pediat, Nashville, TN USA; [Sarkar, Nilanjan] Vanderbilt Univ, Dept Mech Engn, Dept Elect &amp; Comp Engn, Nashville, TN 37235 USA</t>
  </si>
  <si>
    <t>Amat, AZ (corresponding author), Vanderbilt Univ, Dept Elect &amp; Comp Engn, Nashville, TN 37235 USA.</t>
  </si>
  <si>
    <t>ashwaq.zaini.amat.haji.anwar@vanderbilt.edu; m.adiani@vanderbilt.edu; mahrukh.tauseef@vanderbilt.edu; michael.breen@vanderbilt.edu; amy.r.swanson@vumc.org; amy.s.weitlauf@vumc.org; zachary.e.warren@vumc.org; nilan-jan.sarkar@vanderbilt.edu</t>
  </si>
  <si>
    <t>Breen, Michael/J-4624-2012; Warren, Zachary/KWU-8831-2024</t>
  </si>
  <si>
    <t>Amat, Ashwaq Zaini/0000-0002-9896-1285; Warren, Zachary/0000-0001-9677-9386; Adiani, Deeksha/0000-0001-8652-0629; Tauseef, Mahrukh/0000-0001-8703-0402</t>
  </si>
  <si>
    <t>NSF [1936970, 2033413]</t>
  </si>
  <si>
    <t>NSF(National Science Foundation (NSF))</t>
  </si>
  <si>
    <t>This work was supported by NSF under Grant 1936970 and Grant 2033413.</t>
  </si>
  <si>
    <t>10.1109/TNSRE.2023.3271139</t>
  </si>
  <si>
    <t>F4WI7</t>
  </si>
  <si>
    <t>WOS:000982365200002</t>
  </si>
  <si>
    <t>Miller, HL; Templin, TN; Fears, NE; Sherrod, GM; Patterson, RM; Bugnariu, NL</t>
  </si>
  <si>
    <t>Miller, Haylie L.; Templin, Tylan N.; Fears, Nicholas E.; Sherrod, Gabriela M.; Patterson, Rita M.; Bugnariu, Nicoleta L.</t>
  </si>
  <si>
    <t>Movement smoothness during dynamic postural control to a static target differs between autistic and neurotypical children</t>
  </si>
  <si>
    <t>Autism; Motor skills; Movement; Postural control; Virtual reality; Kinematics</t>
  </si>
  <si>
    <t>DEVELOPMENTAL COORDINATION DISORDER; SPECTRUM DISORDER; MOTOR IMPAIRMENT; ABNORMALITIES; INDIVIDUALS; DYSFUNCTION; INTEGRATION; PREDICTS; SYSTEM; ARM</t>
  </si>
  <si>
    <t>Background: Autistic children and adults have known differences in motor performance, including postural instability and atypical gross motor control. Few studies have specifically tested dynamic postural control. This is the first study to quantify movement smoothness and its relationship to task performance during lateral dynamic postural control tasks in autism.Research question: We sought to test the hypothesis that autistic children would have less smooth movements to lateral static targets compared to neurotypical children, and that this difference would relate to specific move-ment strategies.Methods: We used camera-based motion-capture to measure spatiotemporal characteristics of lateral movement of a marker placed on the C7 vertebrae, and of markers comprising trunk and pelvis segments during a dynamic postural movements to near and far targets administered in an immersive virtual environment. We tested a sample of 15 autistic children and 11 age-matched neurotypical children. We quantified movement smoothness using log dimensionless jerk.Results: Autistic children exhibited more medial-lateral pelvic position range of motion compared to neurotypical children, and used a stepping strategy more often compared to neurotypical children. Autistic children also had higher log dimensionless jerk than neurotypical children for motion of the C7 marker. All participants had higher log dimensionless jerk for far targets than for near targets. Autistic children had longer trial durations than neurotypical children, and younger children had longer trial durations than older children across diagnostic groups.Significance: The stepping strategy observed more often in the autistic group likely contributed to log dimen-sionless jerk and reduced movement smoothness. This strategy is indicative of either an attempt to prevent an impending loss of balance, or an attempt to compensate for and recover from a loss of balance once it is detected.</t>
  </si>
  <si>
    <t>[Miller, Haylie L.; Templin, Tylan N.; Fears, Nicholas E.; Sherrod, Gabriela M.; Bugnariu, Nicoleta L.] Univ North Texas Hlth Sci Ctr, Sch Hlth Profess, 3500 Camp Bowie Blvd, Ft Worth, TX 76109 USA; [Miller, Haylie L.; Fears, Nicholas E.] Univ Michigan, 830 N Univ Ave, Ann Arbor, MI 48170 USA; [Templin, Tylan N.] Southwest Res Inst, 6220 Culebra Rd, San Antonio, TX 78238 USA; [Sherrod, Gabriela M.] Univ Alabama Birmingham, 1720 Univ Blvd, Birmingham, AL 35294 USA; [Bugnariu, Nicoleta L.] Univ Pacific, Sch Hlth Sci, 3200 Fifth Ave, Sacramento, CA 95817 USA; [Patterson, Rita M.] Univ North Texas Hlth Sci Ctr, Texas Coll Osteopath Med, 3500 Camp Bowie Blvd, Ft Worth, TX 76109 USA; [Fears, Nicholas E.] Louisiana State Univ, Sch Kinesiol, 1246 Pleasant Hall, Baton Rouge, LA 70803 USA; [Miller, Haylie L.] Univ Michigan, Sch Kinesiol, 830 N Univ Ave, Ann Arbor, MI 48170 USA; [Fears, Nicholas E.] Louisiana State Univ, Baton Rouge, LA USA; [Bugnariu, Nicoleta L.] Univ Pacific, Sacramento, CA USA</t>
  </si>
  <si>
    <t>University of North Texas System; University of North Texas Health Science Center; University of Michigan System; University of Michigan; Southwest Research Institute; University of Alabama System; University of Alabama Birmingham; University of the Pacific; University of North Texas System; University of North Texas Health Science Center; Louisiana State University System; Louisiana State University; University of Michigan System; University of Michigan; Louisiana State University System; Louisiana State University; University of the Pacific</t>
  </si>
  <si>
    <t>Miller, HL (corresponding author), Univ Michigan, Sch Kinesiol, 830 N Univ Ave, Ann Arbor, MI 48170 USA.</t>
  </si>
  <si>
    <t>millerhl@umich.edu</t>
  </si>
  <si>
    <t>Fears, Nicholas/AAS-7984-2020</t>
  </si>
  <si>
    <t>Fears, Nicholas/0000-0001-7081-0015</t>
  </si>
  <si>
    <t>National Science Foundation [SMA-1514495]; National Institute of Clinical and Translational Sciences [KL2-TR001103, UL1-TR001105]; National Institute of Mental Health [K01-MH107774]; University of North Texas Health Science Center</t>
  </si>
  <si>
    <t>National Science Foundation(National Science Foundation (NSF)); National Institute of Clinical and Translational Sciences; National Institute of Mental Health(United States Department of Health &amp; Human ServicesNational Institutes of Health (NIH) - USANIH National Institute of Mental Health (NIMH)); University of North Texas Health Science Center</t>
  </si>
  <si>
    <t>The authors have no conflicts of interests to disclose that could inappropriately influence the work presented in this manuscript. We thank all of the children, adults, and caregivers who participated in this research. We appreciate the community feedback we received in developing the virtual reality task, and we agree that it would have been better with sharks. We would also like to acknowledge our funding sources, the National Science Foundation (SMA-1514495), the National Institute of Clinical and Translational Sciences (KL2-TR001103, UL1- TR001105), the National Institute of Mental Health (K01-MH107774), and the University of North Texas Health Science Center.</t>
  </si>
  <si>
    <t>10.1016/j.gaitpost.2022.10.015</t>
  </si>
  <si>
    <t>6J8WI</t>
  </si>
  <si>
    <t>Bronze, Green Accepted</t>
  </si>
  <si>
    <t>WOS:000887098200005</t>
  </si>
  <si>
    <t>Passarello, N; Tarantino, V; Chirico, A; Menghini, D; Costanzo, F; Sorrentino, P; Fucà, E; Gigliotta, O; Alivernini, F; Oliveri, M; Lucidi, F; Vicari, S; Mandolesi, L; Turriziani, P</t>
  </si>
  <si>
    <t>Passarello, Noemi; Tarantino, Vincenza; Chirico, Andrea; Menghini, Deny; Costanzo, Floriana; Sorrentino, Pierpaolo; Fuca, Elisa; Gigliotta, Onofrio; Alivernini, Fabio; Oliveri, Massimiliano; Lucidi, Fabio; Vicari, Stefano; Mandolesi, Laura; Turriziani, Patrizia</t>
  </si>
  <si>
    <t>Sensory Processing Disorders in Children and Adolescents: Taking Stock of Assessment and Novel Therapeutic Tools</t>
  </si>
  <si>
    <t>perception; cognition; self-report questionnaires; Dunn's framework; neurodevelopment</t>
  </si>
  <si>
    <t>AUTISM SPECTRUM DISORDER; OVER-RESPONSIVITY; YOUNG-CHILDREN; INTEGRATION; POTENTIALS; PATTERNS; BRAIN; MEG; CONNECTIVITY; NEUROBIOLOGY</t>
  </si>
  <si>
    <t>Sensory processing disorders (SPDs) can be described as difficulty detecting, modulating, interpreting, and/or responding to sensory experiences. Because SPDs occur in many individuals with autism spectrum disorder and in other populations with neurodevelopmental disorders, it is important to distinguish between typical and atypical functioning in sensory processes and to identify early phenotypic markers for developing SPDs. This review considers different methods for diagnosing SPDs to outline a multidisciplinary approach useful for developing valid diagnostic measures. In particular, the advantages and limitations of the most commonly used tools in assessment of SPDs, such as caregiver reports, clinical observation, and psychophysical and neuroimaging studies, will be reviewed. Innovative treatment methods such as neuromodulation techniques and virtual reality will also be suggested.</t>
  </si>
  <si>
    <t>[Passarello, Noemi; Gigliotta, Onofrio; Mandolesi, Laura] Univ Naples Federico II, Dept Humanities, Via Porta Massa 1, I-80138 Naples, Italy; [Tarantino, Vincenza; Oliveri, Massimiliano; Turriziani, Patrizia] Univ Palermo, Dept Psychol Educ Sci &amp; Human Movement, Via Sci,Ed 15, I-90128 Palermo, Italy; [Chirico, Andrea; Alivernini, Fabio; Lucidi, Fabio] Sapienza Univ Rome, Fac Med &amp; Psychol, Dept Social &amp; Dev Psychol, Via Marsi 78, I-00185 Rome, Italy; [Menghini, Deny; Costanzo, Floriana; Fuca, Elisa; Vicari, Stefano] Bambino Gesu Pediat Hosp, Dept Neurosci, Child &amp; Adolescent Neuropsychiat Unit, IRCCS, Viale San Paolo 15, I-00146 Rome, Italy; [Sorrentino, Pierpaolo] Aix Marseille Univ, Inst Neurosci Syst, 27 Bd Jean Moulin, F-13005 Marseille, France; [Vicari, Stefano] Catholic Univ, Dept Life Sci &amp; Publ Hlth, Largo Francesco Vito 1, I-00168 Rome, Italy</t>
  </si>
  <si>
    <t>University of Naples Federico II; University of Palermo; Sapienza University Rome; IRCCS Bambino Gesu; Aix-Marseille Universite; Assistance Publique-Hopitaux de Marseille; Institut National de la Sante et de la Recherche Medicale (Inserm); Catholic University of the Sacred Heart; IRCCS Policlinico Gemelli</t>
  </si>
  <si>
    <t>Mandolesi, L (corresponding author), Univ Naples Federico II, Dept Humanities, Via Porta Massa 1, I-80138 Naples, Italy.</t>
  </si>
  <si>
    <t>laura.mandolesi@unina.it</t>
  </si>
  <si>
    <t>Vicari, Stefano/J-3008-2012; Mandolesi, Laura/HMP-1516-2023; Sorrentino, Pierpaolo/JCE-4036-2023; Menghini, Deny/HLH-5705-2023; Oliveri, Massimiliano/HDO-5602-2022; FUCA', ELISA/AAA-1467-2020</t>
  </si>
  <si>
    <t>alivernini, fabio/0000-0002-8998-9374; FUCA', ELISA/0000-0002-8795-7424; MANDOLESI, Laura/0000-0002-3685-7554; Passarello, Noemi/0000-0001-6785-1617; Costanzo, Floriana/0000-0002-0877-9691; Turriziani, Patrizia/0000-0003-4802-280X; Menghini, Deny/0000-0002-3459-2601; Chirico, Andrea/0000-0001-9955-1926; OLIVERI, Massimiliano/0000-0003-0683-624X</t>
  </si>
  <si>
    <t>Department of Humanities, University of Naples Federico II; [2021]</t>
  </si>
  <si>
    <t>Department of Humanities, University of Naples Federico II;</t>
  </si>
  <si>
    <t>This research was supported by funding from the Department of Humanities, University of Naples Federico II (Fondi ricerca dipartimentale 30% 2020 and 2021), to L.M.</t>
  </si>
  <si>
    <t>10.3390/brainsci12111478</t>
  </si>
  <si>
    <t>6V1DP</t>
  </si>
  <si>
    <t>WOS:000894797800001</t>
  </si>
  <si>
    <t>Fears, NE; Templin, TN; Sherrod, GM; Bugnariu, NL; Patterson, RM; Miller, HL</t>
  </si>
  <si>
    <t>Fears, Nicholas E.; Templin, Tylan N.; Sherrod, Gabriela M.; Bugnariu, Nicoleta L.; Patterson, Rita M.; Miller, Haylie L.</t>
  </si>
  <si>
    <t>Autistic Children Use Less Efficient Goal-Directed Whole Body Movements Compared to Neurotypical Development</t>
  </si>
  <si>
    <t>Autism spectrum disorder; Motor skills; Movement; Postural control; Balance; Virtual reality; Kinematics</t>
  </si>
  <si>
    <t>DYNAMIC POSTURAL CONTROL; DAILY LIVING SKILLS; SPECTRUM DISORDER; COORDINATION DISORDER; MOTOR COORDINATION; GROSS MOTOR; IMPAIRMENT; INDIVIDUALS; ADULTS; ABNORMALITIES</t>
  </si>
  <si>
    <t>Autistic children have differences in their movements which impact their functional performance. Virtual-reality enables researchers to study movement in safe, engaging environments. We used motion-capture to measure how 7-13-year-old autistic and neurotypical children make whole-body movements in a virtual-reality task. Although children in both groups were successful, we observed differences in their movements. Autistic children were less efficient moving to the target. Autistic children did not appear to use a movement strategy. While neurotypical children were more likely to overshoot near targets and undershoot far targets, autistic children did not modulate their strategy. Using kinematic data from tasks in virtual-reality, we can begin to understand the pattern of movement challenges experienced by autistic children.</t>
  </si>
  <si>
    <t>[Fears, Nicholas E.; Templin, Tylan N.; Sherrod, Gabriela M.; Bugnariu, Nicoleta L.; Miller, Haylie L.] Univ N Texas, Sch Hlth Profess, Hlth Sci Ctr, 3500 Camp Bowie Blvd, Ft Worth, TX 76109 USA; [Fears, Nicholas E.; Miller, Haylie L.] Univ Michigan, Sch Kinesiol, 830 N Univ Ave, Ann Arbor, MI 48170 USA; [Templin, Tylan N.] Southwest Res Inst, 6220 Culebra Rd, San Antonio, TX 78238 USA; [Sherrod, Gabriela M.] Univ Alabama Birmingham, 1720 Univ Blvd, Birmingham, AL 35294 USA; [Bugnariu, Nicoleta L.] Univ Pacific, Sch Hlth Sci, 155 Fifth St, San Francisco, CA 94103 USA; [Miller, Haylie L.] Univ N Texas, Texas Coll Osteopath Med, Hlth Sci Ctr, 3500 Camp Bowie Blvd, Ft Worth, TX 76109 USA</t>
  </si>
  <si>
    <t>University of North Texas System; University of North Texas Health Science Center; University of Michigan System; University of Michigan; Southwest Research Institute; University of Alabama System; University of Alabama Birmingham; University of the Pacific; University of North Texas System; University of North Texas Health Science Center</t>
  </si>
  <si>
    <t>Miller, HL (corresponding author), Univ N Texas, Sch Hlth Profess, Hlth Sci Ctr, 3500 Camp Bowie Blvd, Ft Worth, TX 76109 USA.;Miller, HL (corresponding author), Univ Michigan, Sch Kinesiol, 830 N Univ Ave, Ann Arbor, MI 48170 USA.</t>
  </si>
  <si>
    <t>; Fears, Nicholas/AAS-7984-2020</t>
  </si>
  <si>
    <t>Miller, Haylie/0000-0003-4372-1206; Fears, Nicholas/0000-0001-7081-0015</t>
  </si>
  <si>
    <t>National Science Foundation [SMA-1514495]; National Institute of Clinical and Translational Sciences [KL2-TR001103, UL1-TR001105]; National Institute of Mental Health [K01-MH107774]</t>
  </si>
  <si>
    <t>National Science Foundation(National Science Foundation (NSF)); National Institute of Clinical and Translational Sciences; National Institute of Mental Health(United States Department of Health &amp; Human ServicesNational Institutes of Health (NIH) - USANIH National Institute of Mental Health (NIMH))</t>
  </si>
  <si>
    <t>Out of respect for preferences expressed by many autistic self-advocates in our studies and in the community, we have chosen to use identity-first (rather than person-first) language throughout this manuscript. In doing so, it is not our intention to diminish or invalidate the preferences or perspectives of those who prefer personfirst language. We continue to welcome feedback on ways that we can effectively partner with the autistic community to advocate for respect, acceptance, inclusion, and representation in research. The authors would also like to acknowledge our funding sources, National Science Foundation (SMA-1514495), National Institute of Clinical and Translational Sciences (KL2-TR001103, UL1-TR001105), and National Institute of Mental Health (K01-MH107774).</t>
  </si>
  <si>
    <t>10.1007/s10803-022-05523-0</t>
  </si>
  <si>
    <t>L1NJ9</t>
  </si>
  <si>
    <t>WOS:000784866500007</t>
  </si>
  <si>
    <t>Yakubova, G; Defayette, MA; Chen, BB</t>
  </si>
  <si>
    <t>Yakubova, Gulnoza; Defayette, Melissa A.; Chen, Briella Baer</t>
  </si>
  <si>
    <t>Mathematics Learning Through Online Video-Based Instruction for an Autistic Child</t>
  </si>
  <si>
    <t>Online instruction; Video modeling; Parental support; Autism; Mathematics</t>
  </si>
  <si>
    <t>APP-BASED MANIPULATIVES; STUDENTS; CONCRETE; INTERVENTION; DISABILITIES; SKILLS</t>
  </si>
  <si>
    <t>The purpose of this study was to examine the effectiveness of a video modeling (VM) intervention package (including virtual manipulatives and error correction) delivered via synchronous, virtual environment to teach the mathematics skills of addition, number comparison, and subtraction to a five-year old autistic child. Using a multiple probe across skills design of a single-case experimental design, we examined whether a causal relation existed between the intervention and the child's improved accuracy of mathematics problem-solving. Following the intervention, the autistic child showed improved accuracy across all three skills and continued to solve problems with 100% accuracy during the generalization phase, which also served as the immediate maintenance phase.</t>
  </si>
  <si>
    <t>[Yakubova, Gulnoza; Defayette, Melissa A.; Chen, Briella Baer] Univ Maryland, College Pk, MD 20742 USA</t>
  </si>
  <si>
    <t>University System of Maryland; University of Maryland College Park</t>
  </si>
  <si>
    <t>Yakubova, G (corresponding author), Univ Maryland, College Pk, MD 20742 USA.</t>
  </si>
  <si>
    <t>gulnoza@umd.edu</t>
  </si>
  <si>
    <t>Yakubova, Gulnoza/K-9301-2019</t>
  </si>
  <si>
    <t>Baer Chen, Briella/0000-0001-5482-8987</t>
  </si>
  <si>
    <t>10.1007/s10803-022-05525-y</t>
  </si>
  <si>
    <t>I0VV1</t>
  </si>
  <si>
    <t>Green Published, Bronze</t>
  </si>
  <si>
    <t>WOS:000770752700002</t>
  </si>
  <si>
    <t>Bauer, V; Bouchara, T; Bourdot, P</t>
  </si>
  <si>
    <t>Bauer, Valentin; Bouchara, Tifanie; Bourdot, Patrick</t>
  </si>
  <si>
    <t>Extended Reality Guidelines for Supporting Autism Interventions Based on Stakeholders' Needs</t>
  </si>
  <si>
    <t>Extended reality; Autism spectrum disorder; Interviews; Design guidelines; Mediation; Multi-sensorimotor</t>
  </si>
  <si>
    <t>IMMERSIVE VIRTUAL-REALITY; SPECTRUM DISORDER; AUGMENTED REALITY; SOCIAL-SKILLS; CHILDREN; INDIVIDUALS; DESIGN; PEOPLE; COMMUNICATION; ADOLESCENTS</t>
  </si>
  <si>
    <t>While Extended Reality (XR) autism research, ranging from Augmented to Virtual Reality, focuses on socio-emotional abilities and autistic children requiring low support, common interventions address the entire spectrum and focus on other abilities, including perceptual abilities. Based on these observations, this paper first addresses common practitioners' interventions, and then suggests XR use cases and guidelines to better support them. To do so, 34 interviews were conducted with stakeholders, mainly including practitioners, and then analyzed. Emerging XR use cases were compared with the findings from two former systematic literature reviews, and emerging design guidelines were compared with the findings from a literature survey that we conducted. Findings suggest that collaborative XR sensory-based and mediation approaches could benefit the entire spectrum.</t>
  </si>
  <si>
    <t>[Bauer, Valentin; Bouchara, Tifanie; Bourdot, Patrick] Univ Paris Saclay, CNRS, LISN, VENISE Team, Orsay, France; [Bouchara, Tifanie] HeSam Univ, CNAM, CEDRIC EA4626, ILJ Team, Paris, France</t>
  </si>
  <si>
    <t>Centre National de la Recherche Scientifique (CNRS); Universite Paris Saclay; heSam Universite; Conservatoire National Arts &amp; Metiers (CNAM)</t>
  </si>
  <si>
    <t>Bauer, V (corresponding author), Univ Paris Saclay, CNRS, LISN, VENISE Team, Orsay, France.</t>
  </si>
  <si>
    <t>valentin.bauer@limsi.fr</t>
  </si>
  <si>
    <t>Bouchara, Tifanie/KEJ-5345-2024</t>
  </si>
  <si>
    <t>BAUER, Valentin/0000-0002-3922-7507; Bourdot, Patrick/0000-0003-2247-1930</t>
  </si>
  <si>
    <t>DIM RFSI Ile de France</t>
  </si>
  <si>
    <t>Thanks to all participants for their time, trust, and precious help without whom this article would not have been possible. This work is part of the AudioXR4TSA project, funded by the DIM RFSI Ile de France.</t>
  </si>
  <si>
    <t>10.1007/s10803-022-05447-9</t>
  </si>
  <si>
    <t>F8AK2</t>
  </si>
  <si>
    <t>WOS:000764449200002</t>
  </si>
  <si>
    <t>Chiappini, M; Dei, C; Micheletti, E; Biffi, E; Storm, FA</t>
  </si>
  <si>
    <t>Chiappini, Mattia; Dei, Carla; Micheletti, Ettore; Biffi, Emilia; Storm, Fabio Alexander</t>
  </si>
  <si>
    <t>High-Functioning Autism and Virtual Reality Applications: A Scoping Review</t>
  </si>
  <si>
    <t>high-functioning autism; virtual reality; autism spectrum disorder</t>
  </si>
  <si>
    <t>SPECTRUM DISORDER; EMPLOYMENT PROGRAM; SOCIAL-SKILLS; INDIVIDUALS; CHILDREN; ATTENTION; PEOPLE; INTERVENTION; ENVIRONMENTS; TECHNOLOGIES</t>
  </si>
  <si>
    <t>In recent years, the number of applications of virtual reality (VR) for the Autism spectrum disorder (ASD) population has increased and has become one of the most suitable tools to address the psychological needs of these individuals. The present scoping review aims to provide a literature mapping of experimental studies that have used immersive and semi-immersive VR for assessments or interventions specifically addressing high-functioning autism. A total of 23 papers were included and analyzed following PRISMA guidelines. The identified studies concerned social skills (11 papers), eye gaze and joint attention (3 papers), motor learning (3 papers), job training (2 papers), and other aims or rationales (4 papers). The evidence shows that, despite the intellectual potential of high-functioning ASD individuals, little research has been conducted to provide interventions that offer concrete training to improve their adaptive functioning. In addition, the percentage of individuals below 18 years of age is representative of half of the included studies, so aiming future studies at the early stages of development might be an asset in preparing the next generation of young adults to cope with age-related challenges, as early assessments and interventions are more likely to produce major long-term effects.</t>
  </si>
  <si>
    <t>[Chiappini, Mattia; Dei, Carla; Micheletti, Ettore; Biffi, Emilia; Storm, Fabio Alexander] IRCCS E Medea, Sci Inst, I-23842 Bosisio Parini, Italy</t>
  </si>
  <si>
    <t>IRCCS Eugenio Medea</t>
  </si>
  <si>
    <t>Storm, FA (corresponding author), IRCCS E Medea, Sci Inst, I-23842 Bosisio Parini, Italy.</t>
  </si>
  <si>
    <t>mattia.chiappini@lanostrafamiglia.it; carla.dei@lanostrafamiglia.it; ettore.micheletti@lanostrafamiglia.it; emilia.biffi@lanostrafamiglia.it; fabio.storm@lanostrafamiglia.it</t>
  </si>
  <si>
    <t>Dei, Carla/HHM-3322-2022; Storm, Fabio Alexander/AAE-2334-2019; Chiappini, Mattia/HHM-3479-2022; Biffi, Emilia/B-7982-2012</t>
  </si>
  <si>
    <t>Storm, Fabio Alexander/0000-0002-5977-8090; Chiappini, Mattia/0000-0002-3613-361X; Biffi, Emilia/0000-0002-2568-9735</t>
  </si>
  <si>
    <t>Horizon 2020</t>
  </si>
  <si>
    <t>Horizon 2020(Horizon 2020)</t>
  </si>
  <si>
    <t>10.3390/app14073132</t>
  </si>
  <si>
    <t>NM8R6</t>
  </si>
  <si>
    <t>WOS:001200966100001</t>
  </si>
  <si>
    <t>Bexson, C; Oldham, G; Wray, J</t>
  </si>
  <si>
    <t>Bexson, Charlotte; Oldham, Geralyn; Wray, Jo</t>
  </si>
  <si>
    <t>Safety of virtual reality use in children: a systematic review</t>
  </si>
  <si>
    <t>EUROPEAN JOURNAL OF PEDIATRICS</t>
  </si>
  <si>
    <t>Virtual reality; Paediatric; Healthcare; Safety</t>
  </si>
  <si>
    <t>PROCEDURAL PAIN; PEDIATRIC PAIN; SINGLE-BLIND; QUESTIONNAIRE; ANXIETY</t>
  </si>
  <si>
    <t>The study aimed to systematically review available literature regarding the safety of virtual reality (VR) use via head-mounted display in children under 14 years of age. The study was a systematic review including all study designs. A search was conducted in January 2023 in PubMed and EMBASE using key terms referring to 'virtual reality', 'paediatrics' and 'safety'. Following title and abstract and full-text screening, data were extracted and a narrative synthesis undertaken. Twenty-six studies met criteria for inclusion in the final review. Limited data suggest that VR may cause mild cybersickness symptoms (not severe enough to cause participants to discontinue use of VR) and that for children with existing amblyopia using VR may result in double vision, which resolves on cessation of VR exposure. Two randomised control trials did not report differences in adverse events between the intervention (VR use) and control groups. Reporting of safety data was poor; only two studies used a validated measure, and in the remaining studies, it was often unclear how adverse events were defined (if at all), how they were categorised in terms of severity and how they were recorded. Conclusion: There is limited evidence regarding any potential harms from short exposure to VR in children under 14 years under supervision. Additional research is required to understand increases in cybersickness during and after VR exposure, and the impact of repeated exposure. Adverse events need to be accurately and routinely recorded to determine any hitherto unknown safety concerns for children &lt; 14 years using VR. What is Known: center dot Virtual reality (VR) is increasingly being applied in paediatrics, with benefits in terms of anxiety reduction, improved pain management associated with procedures, as an adjunct to physiotherapy and supporting treatments in autistic spectrum disorder.. center dot Safety guidance in relation to VR use, particularly in younger children, is limited. What is New: center dot A systematic review of available literature regarding the safety of VR use via head-mounted display in children under 14 years of age demonstrated limited evidence regarding any potential harms from short exposure to VR.. center dot Studies rarely report safety data and adverse side effects are poorly defined, measured and/or reported. center dot The lack of a validated measure for evaluating VR-associated symptoms in children compounds the challenging ethical issues of undertaking research into the effects of VR on younger children.</t>
  </si>
  <si>
    <t>[Bexson, Charlotte; Oldham, Geralyn] Great Ormond St Hosp Children NHS Fdn Trust, Data Res Innovat &amp; Virtual Environm, London, England; [Wray, Jo] Great Ormond St Hosp Children NHS Fdn Trust, Ctr Outcomes &amp; Experience Res Childrens Hlth Illne, London WC1N 3JH, England</t>
  </si>
  <si>
    <t>University of London; University College London; Great Ormond Street Hospital for Children NHS Foundation Trust; University of London; University College London; Great Ormond Street Hospital for Children NHS Foundation Trust</t>
  </si>
  <si>
    <t>Wray, J (corresponding author), Great Ormond St Hosp Children NHS Fdn Trust, Ctr Outcomes &amp; Experience Res Childrens Hlth Illne, London WC1N 3JH, England.</t>
  </si>
  <si>
    <t>jo.wray@gosh.nhs.uk</t>
  </si>
  <si>
    <t>Oldham, Geralyn/0000-0002-0997-726X; Wray, Jo/0000-0002-4769-1211</t>
  </si>
  <si>
    <t>0340-6199</t>
  </si>
  <si>
    <t>1432-1076</t>
  </si>
  <si>
    <t>EUR J PEDIATR</t>
  </si>
  <si>
    <t>Eur. J. Pediatr.</t>
  </si>
  <si>
    <t>10.1007/s00431-024-05488-5</t>
  </si>
  <si>
    <t>MAR 2024</t>
  </si>
  <si>
    <t>OH3T2</t>
  </si>
  <si>
    <t>WOS:001180524200001</t>
  </si>
  <si>
    <t>Schmidt, MM; Lee, MY; Francois, MS; Lu, J; Huang, R; Cheng, L; Weng, YQ</t>
  </si>
  <si>
    <t>Schmidt, Matthew Martin; Lee, Minyoung; Francois, Marc-Sonley; Lu, Jie; Huang, Rui; Cheng, Li; Weng, Yueqi</t>
  </si>
  <si>
    <t>Learning Experience Design of Project PHoENIX: Addressing the Lack of Autistic Representation in Extended Reality Design and Development</t>
  </si>
  <si>
    <t>JOURNAL OF FORMATIVE DESIGN IN LEARNING</t>
  </si>
  <si>
    <t>Virtual reality; Autism; Learning experience design; Participatory design</t>
  </si>
  <si>
    <t>IMMERSIVE VIRTUAL-REALITY; DAILY LIVING SKILLS; SOCIAL-SKILLS; SPECTRUM DISORDERS; CHILDREN; SYSTEM; INTERVENTION; INDIVIDUALS; ENVIRONMENT; CHALLENGES</t>
  </si>
  <si>
    <t>This paper presents Project PHoENIX, which stands for Participatory, Human-centered, Equitable, Neurodiverse, Inclusive, eXtended reality. The project aims to co-produce research with autistic users to create a virtual reality (VR) environment that is highly usable, accessible, and sensitive to the needs and preferences of these individuals. Project PHoENIX utilizes participatory design within a learning experience design (LXD) frame to locate autistic people, their caregivers, and providers centrally in the processes of immersive technology design and development, as well as research design and execution. An overarching literature review on VR and autism and issues of limited design precedent of VR environments with autistic participants is provided, as well as details on the Project PHoENIX design framework, project description, and project design outcomes. Details are provided on how the online VR environment was co-designed and co-developed through collaborative research with autistic stakeholders while being sensitive to their needs and preferences. Research findings and implications are discussed regarding the design process, constraints, principles, and insights. The paper concludes by discussing lessons learned and how this project can provide much-needed design precedent for advancing the field towards a more inclusive, human-centered, and neurodiverse VR research and development paradigms.</t>
  </si>
  <si>
    <t>[Schmidt, Matthew Martin; Lee, Minyoung; Francois, Marc-Sonley; Lu, Jie; Huang, Rui; Cheng, Li; Weng, Yueqi] Univ Florida, Gainesville, FL 32611 USA</t>
  </si>
  <si>
    <t>State University System of Florida; University of Florida</t>
  </si>
  <si>
    <t>Schmidt, MM (corresponding author), Univ Florida, Gainesville, FL 32611 USA.</t>
  </si>
  <si>
    <t>matthew.schmidt@coe.ufl.edu; minyounglee@ufl.edu; francoism@ufl.edu; jie.lu@ufl.edu; rui.huang@ufl.edu; licheng@ufl.edu; yueqi.weng@ufl.edu</t>
  </si>
  <si>
    <t>Huang, Tammy/AAY-8160-2021; Francois, Marc/JCN-8502-2023; Lee, Min Young/GMX-1345-2022</t>
  </si>
  <si>
    <t>Schmidt, Matthew/0000-0002-8110-4367; Huang, Rui Tammy/0000-0001-5917-2323; Francois, Marc-Sonley/0000-0001-5017-5704; Lu, Jie Jennifer/0000-0002-7466-6177</t>
  </si>
  <si>
    <t>Center for Autism and Neurodevelopment Disorders (CAN) at the University of Florida</t>
  </si>
  <si>
    <t>This study was funded by the Center for Autism and Neurodevelopment Disorders (CAN) at the University of Florida.</t>
  </si>
  <si>
    <t>SPRINGER INT PUBL AG</t>
  </si>
  <si>
    <t>CHAM</t>
  </si>
  <si>
    <t>GEWERBESTRASSE 11, CHAM, CH-6330, SWITZERLAND</t>
  </si>
  <si>
    <t>2509-8039</t>
  </si>
  <si>
    <t>J FORMATIVE DES LEAR</t>
  </si>
  <si>
    <t>J. Formative Des. Learn.</t>
  </si>
  <si>
    <t>10.1007/s41686-023-00077-5</t>
  </si>
  <si>
    <t>M1AS1</t>
  </si>
  <si>
    <t>WOS:000990972400001</t>
  </si>
  <si>
    <t>Pinto-Coelho, L; Laska-Lesniewicz, A; Pereira, ET; Sztobryn-Giercuszkiewicz, J</t>
  </si>
  <si>
    <t>Pinto-Coelho, Luis; Laska-Lesniewicz, Anna; Pereira, Elisabeth T.; Sztobryn-Giercuszkiewicz, Joanna</t>
  </si>
  <si>
    <t>INCLUSION AND ADAPTATION BEYOND DISABILITY: USING VIRTUAL REALITY TO FOSTER EMPATHY</t>
  </si>
  <si>
    <t>MEDYCYNA PRACY</t>
  </si>
  <si>
    <t>pregnancy; autism; empathy; disabilities; virtual reality; society</t>
  </si>
  <si>
    <t>AUTISM SPECTRUM DISORDERS; CHILDREN</t>
  </si>
  <si>
    <t>Background: Virtual reality (VR) has the potential to be a powerful tool in promoting empathy towards inclusion, particularly for individuals with impairments such as mobility difficulties, vision deficits, or autism but also about pregnancy, which can create temporary difficulties. By immersing users in simulated environments that replicate the experiences of those with different abilities, VR can create a sense of understanding and empathy for those who face challenges in their daily lives. For example, VR experiences can simulate the experience of navigating space as someone with a mobility impairment, providing a new perspective and appreciation for the difficulties that others face. Similarly, VR experiences can simulate the experience of vision impairment, pregnancy, or autism, providing a window into the challenges faced by those with these conditions and fostering empathy and understanding. Material and Methods: During the development of this study, field experts were consulted to ensure the robustness of the methods employed. Then, questionnaires were specifically developed to explore disabilities and challenges related to inclusion and were administered to a large population. Additionally, guided interviews were conducted with individuals who possess specific impairments to gather first-hand insights. Results: The results obtained from the questionnaires and interviews provide a comprehensive overview of the inclusion challenges that necessitate attention and resolution. By drawing on the expertise of both experts and individuals with lived experiences, a holistic landscape of inclusion challenges has been established. Conclusions: The VR emerges as a powerful tool for promoting inclusion and fostering understanding among individuals. Its capacity to create immersive experiences that facilitate empathy has the potential to reshape society into a more compassionate and empathetic one. By leveraging the unique capabilities of VR, we can bridge the gap between different perspectives, fostering greater understanding, acceptance, and inclusivity.</t>
  </si>
  <si>
    <t>[Pinto-Coelho, Luis] Polytech Inst Porto, Sch Engn, Dept Phys, Porto, Portugal; [Laska-Lesniewicz, Anna] Lodz Univ Technol, Inst Mechatron &amp; Informat Syst, Lodz, Poland; [Pereira, Elisabeth T.] Univ Aveiro, Aveiro, Portugal; [Sztobryn-Giercuszkiewicz, Joanna] Univ Lodz, Inst Sociol, Lodz, Poland; [Pinto-Coelho, Luis] Polytech Inst Porto, Sch Engn, Dept Phys, Rua Dr Antonio Bernardino Almeida 431, P-4249015 Porto, Portugal</t>
  </si>
  <si>
    <t>Instituto Politecnico do Porto; Lodz University of Technology; Universidade de Aveiro; University of Lodz; Instituto Politecnico do Porto</t>
  </si>
  <si>
    <t>Pinto-Coelho, L (corresponding author), Polytech Inst Porto, Sch Engn, Dept Phys, Rua Dr Antonio Bernardino Almeida 431, P-4249015 Porto, Portugal.</t>
  </si>
  <si>
    <t>lfc@isep.ipp.pt</t>
  </si>
  <si>
    <t>Coelho, Luis/O-6904-2019; SztobrynGiercuszkiewicz, Joanna/KYR-0427-2024; Pereira, Elisabeth/C-5421-2013; Sztobryn-Giercuszkiewicz, Joanna/M-6385-2013; Coelho, Luis/C-9695-2015</t>
  </si>
  <si>
    <t>Sztobryn-Giercuszkiewicz, Joanna/0000-0002-2148-4345; T. Pereira, Elisabeth/0000-0001-8997-1249; Laska-Lesniewicz, Anna/0000-0002-0546-0378; Coelho, Luis/0000-0002-5673-7306</t>
  </si>
  <si>
    <t>Erasmus+ Programme of the European Union [2020-1-PL01-KA203-081735]</t>
  </si>
  <si>
    <t>Erasmus+ Programme of the European Union(Erasmus+)</t>
  </si>
  <si>
    <t>&amp; nbsp;this publication has been co-funded by the Erasmus+ Programme of the European Union (project No. 2020-1-PL01-KA203-081735 entitled Mixed Reality on Universal Design's Secret Service,'project manager: Dorota Kaminska, Eng.D., Lodz University of Technology) . This publication reflects the views only of the authors, the National Agency and European Commission cannot be held responsible for any use, which may be made of the information contained therein.</t>
  </si>
  <si>
    <t>NOFER INST OCCUPATIONAL MEDICINE, POLAND</t>
  </si>
  <si>
    <t>LODZ</t>
  </si>
  <si>
    <t>SW TERESY 8, LODZ, 91-348, POLAND</t>
  </si>
  <si>
    <t>0465-5893</t>
  </si>
  <si>
    <t>2353-1339</t>
  </si>
  <si>
    <t>MED PR</t>
  </si>
  <si>
    <t>Med. Pr.</t>
  </si>
  <si>
    <t>10.13075/mp.5893.01386</t>
  </si>
  <si>
    <t>S5JH0</t>
  </si>
  <si>
    <t>WOS:001071522800001</t>
  </si>
  <si>
    <t>Elkin, TD; Zhang, YX; Reneker, JC</t>
  </si>
  <si>
    <t>Elkin, Thomas David; Zhang, Yunxi; Reneker, Jennifer C.</t>
  </si>
  <si>
    <t>Gaze Fixation and Visual Searching Behaviors during an Immersive Virtual Reality Social Skills Training Experience for Children and Youth with Autism Spectrum Disorder: A Pilot Study</t>
  </si>
  <si>
    <t>autism spectrum disorder; virtual reality; social skills; eye tracking</t>
  </si>
  <si>
    <t>TECHNOLOGY</t>
  </si>
  <si>
    <t>Children and youth with Autism Spectrum Disorder (ASD) display difficulties recognizing and interacting with behavioral expressions of emotion, a deficit that makes social interaction problematic. Social skills training is foundational to the treatment of ASD, yet this intervention is costly, time-consuming, lacks objectivity, and is difficult to deliver in real-world settings. This pilot project investigated the use of an immersive virtual reality (IVR) headset to simulate real-world social interactions for children/youth with ASD. The primary objective was to describe gaze fixation and visual search behaviors during the simulated activity. Ten participants were enrolled and completed one social-skills training session in the IVR. The results demonstrate differential patterns between participants with mild, moderate, and severe ASD in the location and duration of gaze fixation as well as the patterns of visual searching. Although the results are preliminary, these differences may shed light on phenotypes within the continuum of ASD. Additionally, there may be value in quantifying gaze and visual search behaviors as an objective metric of interventional effectiveness for social-skills training therapy.</t>
  </si>
  <si>
    <t>[Elkin, Thomas David] Univ Mississippi, Med Ctr, Sch Med, Dept Psychiat &amp; Human Behav, 2500 North State St, Jackson, MS 39216 USA; [Elkin, Thomas David] Univ Mississippi, Med Ctr, Sch Med, Dept Pediat, 2500 North State St, Jackson, MS 39216 USA; [Zhang, Yunxi] Univ Mississippi, Med Ctr, John D Bower Sch Populat Hlth, Dept Data Sci, 2500 North State St, Jackson, MS 39216 USA; [Reneker, Jennifer C.] Univ Mississippi, Med Ctr, John D Bower Sch Populat Hlth, Dept Populat Hlth Sci, 2500 North State St, Jackson, MS 39216 USA; [Reneker, Jennifer C.] Univ Mississippi, Med Ctr, John D Bower Sch Populat Hlth, Dept Phys Therapy, 2500 North State St, Jackson, MS 39216 USA</t>
  </si>
  <si>
    <t>University of Mississippi; University of Mississippi Medical Center; University of Mississippi Medical Center; University of Mississippi; University of Mississippi Medical Center; University of Mississippi; University of Mississippi Medical Center; University of Mississippi; University of Mississippi; University of Mississippi Medical Center</t>
  </si>
  <si>
    <t>Reneker, JC (corresponding author), Univ Mississippi, Med Ctr, John D Bower Sch Populat Hlth, Dept Populat Hlth Sci, 2500 North State St, Jackson, MS 39216 USA.;Reneker, JC (corresponding author), Univ Mississippi, Med Ctr, John D Bower Sch Populat Hlth, Dept Phys Therapy, 2500 North State St, Jackson, MS 39216 USA.</t>
  </si>
  <si>
    <t>jreneker@umc.edu</t>
  </si>
  <si>
    <t>; Reneker, Jennifer C./N-2038-2016</t>
  </si>
  <si>
    <t>Zhang, Yunxi/0000-0002-2614-5246; Reneker, Jennifer C./0000-0003-3617-5681</t>
  </si>
  <si>
    <t>Office for the Advancement of Telehealth, Health Resources and Services Administration, U.S. Department of Health and Human Services [U66RH31459]</t>
  </si>
  <si>
    <t>Office for the Advancement of Telehealth, Health Resources and Services Administration, U.S. Department of Health and Human Services(United States Department of Health &amp; Human ServicesUnited States Health Resources &amp; Service Administration (HRSA))</t>
  </si>
  <si>
    <t>This project is supported by the Office for the Advancement of Telehealth, Health Resources and Services Administration, U.S. Department of Health and Human Services under cooperative agreement award no. U66RH31459. The information, conclusions, and opinions expressed are those of the authors and no endorsement is intended or should be inferred.</t>
  </si>
  <si>
    <t>10.3390/brainsci12111568</t>
  </si>
  <si>
    <t>6V6IM</t>
  </si>
  <si>
    <t>WOS:000895149000001</t>
  </si>
  <si>
    <t>Haskins, AJ; Mentch, J; Botch, TL; Garcia, BD; Burrows, AL; Robertson, CE</t>
  </si>
  <si>
    <t>Haskins, Amanda J.; Mentch, Jeff; Botch, Thomas L.; Garcia, Brenda D.; Burrows, Alexandra L.; Robertson, Caroline E.</t>
  </si>
  <si>
    <t>Reduced social attention in autism is magnified by perceptual load in naturalistic environments</t>
  </si>
  <si>
    <t>adults; attention; eye movement; sensory; social cognition</t>
  </si>
  <si>
    <t>EYE-TRACKING; SPECTRUM; SALIENCY; SCENES; INDIVIDUALS; CHILDREN; TODDLERS; TRAITS; ADULTS</t>
  </si>
  <si>
    <t>Individuals with autism spectrum conditions (ASC) describe differences in both social cognition and sensory processing, but little is known about the causal relationship between these disparate functional domains. In the present study, we sought to understand how a core characteristic of autism-reduced social attention-is impacted by the complex multisensory signals present in real-world environments. We tested the hypothesis that reductions in social attention associated with autism would be magnified by increasing perceptual load (e.g., motion, multisensory cues). Adult participants (N = 40; 19 ASC) explored a diverse set of 360 degrees real-world scenes in a naturalistic, active viewing paradigm (immersive virtual reality + eyetracking). Across three conditions, we systematically varied perceptual load while holding the social and semantic information present in each scene constant. We demonstrate that reduced social attention is not a static signature of the autistic phenotype. Rather, group differences in social attention emerged with increasing perceptual load in naturalistic environments, and the susceptibility of social attention to perceptual load predicted continuous measures of autistic traits across groups. Crucially, this pattern was specific to the social domain: we did not observe differential impacts of perceptual load on attention directed toward nonsocial semantic (i.e., object, place) information or low-level fixation behavior (i.e., overall fixation frequency or duration). This study provides a direct link between social and sensory processing in autism. Moreover, reduced social attention may be an inaccurate characterization of autism. Instead, our results suggest that social attention in autism is better explained by social vulnerability, particularly to the perceptual load of real-world environments. Lay Summary Real-world sensory contexts place incredible demands on selective attention. Autistic individuals report a particular challenge navigating contexts with high perceptual load, but little is known about its impact on classic, social signatures of autism. Here, we used eyetracking in immersive virtual reality to test the impact of perceptual load on social attention in naturalistic contexts. Overall, we found that group differences in social attention emerge with increasing real-world perceptual load, revealing a novel link between social and sensory processing in autism.</t>
  </si>
  <si>
    <t>[Haskins, Amanda J.; Botch, Thomas L.; Garcia, Brenda D.; Burrows, Alexandra L.; Robertson, Caroline E.] Dartmouth Coll, Dept Psychol &amp; Brain Sci, 3 Maynard St, Hanover, NH 03755 USA; [Mentch, Jeff] Harvard Univ, Speech &amp; Hearing Biosci &amp; Technol, Boston, MA USA; [Mentch, Jeff] MIT, McGovern Inst Brain Res, Cambridge, MA USA</t>
  </si>
  <si>
    <t>Dartmouth College; Harvard University; Massachusetts Institute of Technology (MIT)</t>
  </si>
  <si>
    <t>Haskins, AJ; Robertson, CE (corresponding author), Dartmouth Coll, Dept Psychol &amp; Brain Sci, 3 Maynard St, Hanover, NH 03755 USA.</t>
  </si>
  <si>
    <t>ajh.gr@dartmouth.edu; cerw@dartmouth.edu</t>
  </si>
  <si>
    <t>Haskins, Amanda/0000-0002-3099-999X; Garcia, Brenda/0009-0008-6882-5902; Mentch, Jeff/0000-0002-7762-8678; Botch, Thomas/0000-0001-6615-2224; , Caroline/0000-0002-1858-6594</t>
  </si>
  <si>
    <t>Dartmouth Neukom Institute for Computational Science; Simons Foundation Autism Research Initiative (SFARI); Nancy Lurie Marks Family Foundation</t>
  </si>
  <si>
    <t>Dartmouth Neukom Institute for Computational Science; Nancy Lurie Marks Family Foundation; Simons Foundation Autism Research Initiative (SFARI)</t>
  </si>
  <si>
    <t>10.1002/aur.2829</t>
  </si>
  <si>
    <t>OCT 2022</t>
  </si>
  <si>
    <t>6S3ZN</t>
  </si>
  <si>
    <t>WOS:000864924400001</t>
  </si>
  <si>
    <t>The Use of Binaural Based Spatial Audio in the Reduction of Auditory Hypersensitivity in Autistic Young People</t>
  </si>
  <si>
    <t>SPECTRUM DISORDER; SYSTEMATIC-DESENSITIZATION; CHILDREN; REALITY; ANXIETY; MANAGEMENT; STIMULI; SENSE</t>
  </si>
  <si>
    <t>Individuals diagnosed with autism spectrum disorder (ASD) are characterised as experiencing impairments in social-emotional interaction and communication, alongside frequently displaying repetitive behaviours and interests. Further to this, they are often described as experiencing difficulties in processing sensory information, with particular prevalence within the auditory modality. Provoked by common environmental sounds, auditory hypersensitivity can result in self-regulatory fear responses. Rather than a physiological pain reaction, literature suggests that these hypersensitivities are resulting through irrational fear of the sounds. This investigation evaluates the use of binaural based spatial audio as a rendering technique for delivering realistic simulations of averse stimuli within a virtual reality (VR) exposure based computer game intervention for auditory hypersensitivity in autism. Over multiple experimental sessions, 20 autistic participants experiencing auditory hypersensitivity were exposed to either spatial audio or stereo renders of target stimuli during the intervention. Measurements of self-reported emotions displayed significant reductions in associated negative emotional reactions to target stimuli for all participants. However, significant improvements were experienced by those listening to spatial audio simulations. Moreover, tracked voluntary interactions with exposure based game-mechanics increased as the study progressed. Providing further evidence of increased tolerance towards averse auditory stimuli.</t>
  </si>
  <si>
    <t>[Johnston, Daniel; Kearney, Gavin] Univ York, Sch Phys Engn &amp; Technol, AudioLab, Commun Technol Res Grp, York YO10 5DD, N Yorkshire, England; [Egermann, Hauke] TU Dortmund Univ, Inst Mus &amp; Musicol, Emil Figge Str 50, D-44227 Dortmund, Germany</t>
  </si>
  <si>
    <t>University of York - UK; Dortmund University of Technology</t>
  </si>
  <si>
    <t>Johnston, D (corresponding author), Univ York, Sch Phys Engn &amp; Technol, AudioLab, Commun Technol Res Grp, York YO10 5DD, N Yorkshire, England.</t>
  </si>
  <si>
    <t>dan.johnston@york.ac.uk</t>
  </si>
  <si>
    <t>Johnston, Daniel/0000-0002-6427-5383; Egermann, Hauke/0000-0001-7014-7989; Kearney, Gavin Cyril/0000-0002-0692-236X</t>
  </si>
  <si>
    <t>10.3390/ijerph191912474</t>
  </si>
  <si>
    <t>5I0OM</t>
  </si>
  <si>
    <t>Green Published, Green Accepted, gold</t>
  </si>
  <si>
    <t>WOS:000868067500001</t>
  </si>
  <si>
    <t>Ghafghazi, S; Carnet, A; Neely, L; Das, A; Rad, P</t>
  </si>
  <si>
    <t>Ghafghazi, Shadi; Carnet, Amarie; Neely, Leslie; Das, Arun; Rad, Paul</t>
  </si>
  <si>
    <t>AI-Augmented Behavior Analysis for Children With Developmental Disabilities: Building Toward Precision Treatment</t>
  </si>
  <si>
    <t>IEEE SYSTEMS MAN AND CYBERNETICS MAGAZINE</t>
  </si>
  <si>
    <t>Autism; Systematics; Education; Decision making; Behavioral sciences; Virtual reality; Prediction algorithms</t>
  </si>
  <si>
    <t>AUTISM SPECTRUM DISORDER; INTELLIGENCE</t>
  </si>
  <si>
    <t>Autism spectrum disorder is a developmental disorder characterized by significant social, communication, and behavioral challenges. Individuals diagnosed with autism, intellectual, and developmental disabilities (AUIDD) typically require long-term care and targeted treatment and teaching. Effective treatment of AUIDD relies on efficient and careful behavioral observations done by trained applied behavioral analysts (ABAs). However, this process overburdens ABAs by requiring the clinicians to collect and analyze data, identify the problem behaviors, conduct pattern analysis to categorize and predict categorical outcomes, hypothesize responsiveness to treatments, and detect the effects of treatment plans. Successful integration of digital technologies into clinical decision-making pipelines and the advancements in automated decision making using artificial intelligence (AI) algorithms highlights the importance of augmenting teaching and treatments using novel algorithms and high-fidelity sensors. In this article, we present an AI-augmented learning and applied behavior analytics (AI-ABA) platform to provide personalized treatment and learning plans to AUIDD individuals. By defining systematic experiments along with automated data collection and analysis, AI-ABA can promote self-regulative behavior using reinforcement-based augmented or virtual reality and other mobile platforms. Thus, AI-ABA could assist clinicians to focus on making precise data-driven decisions and increase the quality of individualized interventions for individuals with AUIDD.</t>
  </si>
  <si>
    <t>[Ghafghazi, Shadi] Univ Appl Sci &amp; Technol, Hamadan 6513815317, Hamadan, Iran; [Carnet, Amarie] Victoria Univ Wellington, Coll Educ, Wellington 6012, New Zealand; [Carnet, Amarie] Univ Texas San Antonio, San Antonio, TX 78249 USA; [Neely, Leslie] Univ Texas San Antonio, Coll Educ &amp; Human Dev, San Antonio, TX 78249 USA; [Neely, Leslie] Child &amp; Adolescent Policy &amp; Res Inst, San Antonio, TX 78249 USA; [Rad, Paul] Univ Texas San Antonio, Dept Comp Sci, San Antonio, TX 78249 USA</t>
  </si>
  <si>
    <t>Victoria University Wellington; University of Texas System; University of Texas at San Antonio (UTSA); University of Texas System; University of Texas at San Antonio (UTSA); University of Texas System; University of Texas at San Antonio (UTSA)</t>
  </si>
  <si>
    <t>Ghafghazi, S (corresponding author), Univ Appl Sci &amp; Technol, Hamadan 6513815317, Hamadan, Iran.</t>
  </si>
  <si>
    <t>sh.ghafghazi@gmail.com; amarie.carnett@vuw.ac.nz; leslie.neely@utsa.edu; arun.das@utsa.edu; paul.rad@utsa.edu</t>
  </si>
  <si>
    <t>Najafirad, Peyman/ACB-9554-2022</t>
  </si>
  <si>
    <t>Open Cloud Institute at the University of Texas at San Antonio (UTSA); UTSA Brain Health Consortium; Office of the Vice President for Research, Economic Development, and Knowledge Enterprise</t>
  </si>
  <si>
    <t>This project was funded partly by both the Open Cloud Institute at the University of Texas at San Antonio (UTSA) and the UTSA Brain Health Consortium and Office of the Vice President for Research, Economic Development, and Knowledge Enterprise. Arun Das and Shadi Ghafgazhi contributed equally. We gratefully acknowledge the use of the services of Jetstream cloud.</t>
  </si>
  <si>
    <t>2380-1298</t>
  </si>
  <si>
    <t>2333-942X</t>
  </si>
  <si>
    <t>IEEE SYST MAN CYBERN</t>
  </si>
  <si>
    <t>IEEE Syst. Man. Cybern. Mag.</t>
  </si>
  <si>
    <t>10.1109/MSMC.2021.3086989</t>
  </si>
  <si>
    <t>Computer Science, Cybernetics</t>
  </si>
  <si>
    <t>WN3WU</t>
  </si>
  <si>
    <t>Green Submitted, Bronze</t>
  </si>
  <si>
    <t>WOS:000711703000007</t>
  </si>
  <si>
    <t>Mertz, L</t>
  </si>
  <si>
    <t>Mertz, Leslie</t>
  </si>
  <si>
    <t>AI, Virtual Reality, and Robots Advancing Autism Diagnosis and Therapy</t>
  </si>
  <si>
    <t>IEEE PULSE</t>
  </si>
  <si>
    <t>Autism; Medical treatment; Virtual reality; Machine learning; Robots</t>
  </si>
  <si>
    <t>Autism spectrum disorder (ASD) is a challenge in multiple ways. Just getting diagnosed can take months of visits to doctors and specialists. After the diagnosis, children are often put on long waiting lists to begin therapy, which itself consists of frequent sessions that while helpful, are usually quite taxing for both the children and their parents. And while child-directed therapies are available, adults who are on the spectrum often find little continuing support. Recent technologies are using artificial intelligence (AI), machine learning (ML), virtual reality (VR), and other advanced methods to address all of those issues with faster and easier diagnostics, and in-home therapeutic approaches designed for all ages.</t>
  </si>
  <si>
    <t>lmertz@nasw.org</t>
  </si>
  <si>
    <t>2154-2287</t>
  </si>
  <si>
    <t>2154-2317</t>
  </si>
  <si>
    <t>IEEE Pulse</t>
  </si>
  <si>
    <t>10.1109/MPULS.2021.3113092</t>
  </si>
  <si>
    <t>WO6KM</t>
  </si>
  <si>
    <t>WOS:000712561100006</t>
  </si>
  <si>
    <t>Valori, I; McKenna-Plumley, PE; Bayramova, R; Farroni, T</t>
  </si>
  <si>
    <t>Valori, Irene; McKenna-Plumley, Phoebe E.; Bayramova, Rena; Farroni, Teresa</t>
  </si>
  <si>
    <t>Perception and Motion in Real and Virtual Environments: A Narrative Review of Autism Spectrum Disorders</t>
  </si>
  <si>
    <t>sensorimotor development; virtual reality; IVR; HMD; autism; ASD; perception; motion</t>
  </si>
  <si>
    <t>POSTURAL CONTROL; CHILDREN; BODY; INTEGRATION; PROPRIOCEPTION; INDIVIDUALS; EMBODIMENT; TOLERANCE; BINDING; ADULTS</t>
  </si>
  <si>
    <t>Atypical sensorimotor developmental trajectories greatly contribute to the profound heterogeneity that characterizes Autism Spectrum Disorders (ASD). Individuals with ASD manifest deviations in sensorimotor processing with early markers in the use of sensory information coming from both the external world and the body, as well as motor difficulties. The cascading effect of these impairments on the later development of higher-order abilities (e.g., executive functions and social communication) underlines the need for interventions that focus on the remediation of sensorimotor integration skills. One of the promising technologies for such stimulation is Immersive Virtual Reality (IVR). In particular, head-mounted displays (HMDs) have unique features that fully immerse the user in virtual realities which disintegrate and otherwise manipulate multimodal information. The contribution of each individual sensory input and of multisensory integration to perception and motion can be evaluated and addressed according to a user's clinical needs. HMDs can therefore be used to create virtual environments aimed at improving people's sensorimotor functioning, with strong potential for individualization for users. Here we provide a narrative review of the sensorimotor atypicalities evidenced by children and adults with ASD, alongside some specific relevant features of IVR technology. We discuss how individuals with ASD may interact differently with IVR versus real environments on the basis of their specific atypical sensorimotor profiles and describe the unique potential of HMD-delivered immersive virtual environments to this end.</t>
  </si>
  <si>
    <t>[Valori, Irene; Farroni, Teresa] Univ Padua, Dept Dev Psychol &amp; Socializat, Padua, Italy; [McKenna-Plumley, Phoebe E.] Queens Univ Belfast, Sch Psychol, Belfast, Antrim, North Ireland; [Bayramova, Rena] Univ Padua, Dept Gen Psychol, Padua, Italy</t>
  </si>
  <si>
    <t>University of Padua; Queens University Belfast; University of Padua</t>
  </si>
  <si>
    <t>Farroni, T (corresponding author), Univ Padua, Dept Dev Psychol &amp; Socializat, Padua, Italy.</t>
  </si>
  <si>
    <t>teresa.farroni@unipd.it</t>
  </si>
  <si>
    <t>Valori, Irene/ITT-4139-2023; McKenna-Plumley, Phoebe/AFT-2755-2022</t>
  </si>
  <si>
    <t>Valori, Irene/0000-0002-9560-2789</t>
  </si>
  <si>
    <t>The present research has been funded by the Beneficentia Stiftung Foundation.</t>
  </si>
  <si>
    <t>JUL 12</t>
  </si>
  <si>
    <t>10.3389/fpsyg.2021.708229</t>
  </si>
  <si>
    <t>TQ2AT</t>
  </si>
  <si>
    <t>WOS:000678088700001</t>
  </si>
  <si>
    <t>Kuper, GE; Ksobiech, K; Wickert, J; Leighton, F; Frederick, E</t>
  </si>
  <si>
    <t>Kuper, Gregory E.; Ksobiech, Kate; Wickert, Jonathan; Leighton, Frederick; Frederick, Edward</t>
  </si>
  <si>
    <t>An Exploratory Analysis of Increasing Self-Efficacy of Adults with Autism Spectrum Disorder Through the Use of Multimedia Training Stimuli</t>
  </si>
  <si>
    <t>virtual reality; vocational training; onboarding; autism; ASD; multimedia training stimuli</t>
  </si>
  <si>
    <t>ORGANIZATIONAL ENTRY; YOUNG-ADULTS; ADOLESCENTS; ENGAGEMENT; OUTCOMES</t>
  </si>
  <si>
    <t>While some evidence-based vocational studies exist for adults with Autism Spectrum Disorder (ASD), most focus on social interaction. This mixed methods exploratory study investigated a multimedia approach to training ASD adults as a strategy for increasing self-efficacy and producing positive training outcomes during the anticipatory socialization and encounter phases of organizational assimilation. Ten ASD adults, seven men and three women, 19 to 42 years of age, participated in the study, which utilized video and virtual reality to instruct participants on how to wire an electrical socket. Significant increases in the participant's self-efficacy were found using a modified version of the New General Self-Efficacy (NGSE) scale. In addition, a thematic analysis of post-training comments showed that participants, overall, were engaged and had fun during the training. These findings suggest that a multimedia approach may be an effective strategy for achieving positive outcomes by increasing self-efficacy and engagement when training newly hired employees diagnosed with ASD to perform vocational tasks.</t>
  </si>
  <si>
    <t>[Kuper, Gregory E.; Ksobiech, Kate; Wickert, Jonathan; Leighton, Frederick; Frederick, Edward] Univ Wisconsin, Dept Commun, 800 W Main St, Whitewater, WI 53190 USA</t>
  </si>
  <si>
    <t>University of Wisconsin System</t>
  </si>
  <si>
    <t>Kuper, GE (corresponding author), Univ Wisconsin, Dept Commun, 800 W Main St, Whitewater, WI 53190 USA.</t>
  </si>
  <si>
    <t>gregkuper@hotmail.com</t>
  </si>
  <si>
    <t>10.1089/cyber.2019.0111</t>
  </si>
  <si>
    <t>NOV 2019</t>
  </si>
  <si>
    <t>WOS:000494678700001</t>
  </si>
  <si>
    <t>Hochhauser, M; Grynszpan, O</t>
  </si>
  <si>
    <t>Hochhauser, Michal; Grynszpan, Ouriel</t>
  </si>
  <si>
    <t>Methods Investigating How Individuals with Autism Spectrum Disorder Spontaneously Attend to Social Events</t>
  </si>
  <si>
    <t>Autism spectrum disorders; Social cognition; Attention; Eye-tracking; Virtual reality</t>
  </si>
  <si>
    <t>EYE-TRACKING; COGNITIVE NEUROSCIENCE; FUNCTIONING AUTISM; ASPERGER-SYNDROME; MIRROR NEURONS; GAZE AVERSION; NEURAL BASIS; CHILDREN; FACE; ABSENCE</t>
  </si>
  <si>
    <t>It has been recognized that individuals with autism spectrum disorder (ASD) show discrepancies between their abstract capacities to solve social cognition dilemmas and their ability to spontaneously decipher live social interactions. In the last 15 years, different paradigms have been designed to investigate how individuals with ASD grasp information when emerged in naturalistic or live social interactions. The present paper reviews three categories of such paradigms that focus on (1) verbal questionnaires and interviews while participants view a naturalistic social scenario, (2) eye tracking methods while participants view naturalistic settings, and (3) simulation of social interactions using virtual reality or robotics. This paper discusses the advantages and limitations of each paradigm and suggests a new concept for combining these paradigms.</t>
  </si>
  <si>
    <t>[Hochhauser, Michal] Univ Haifa, IL-40700 Haifa Ariel, Israel; [Grynszpan, Ouriel] Univ Paris 06, Paris, France</t>
  </si>
  <si>
    <t>University of Haifa; Sorbonne Universite</t>
  </si>
  <si>
    <t>Hochhauser, M (corresponding author), Univ Haifa, IL-40700 Haifa Ariel, Israel.</t>
  </si>
  <si>
    <t>mhochh1@univ.haifa.ac.il</t>
  </si>
  <si>
    <t>Hochhauser, Michal/AAB-7493-2020; Grynszpan, Ouriel/ABF-6923-2020</t>
  </si>
  <si>
    <t>Hochhauser, Michal/0000-0002-2265-3913</t>
  </si>
  <si>
    <t>10.1007/s40489-016-0099-4</t>
  </si>
  <si>
    <t>ER7DP</t>
  </si>
  <si>
    <t>WOS:000398970700007</t>
  </si>
  <si>
    <t>Quan, W; Liu, SK; Cao, M; Zhao, JL</t>
  </si>
  <si>
    <t>Quan, Wei; Liu, Shikai; Cao, Meng; Zhao, Jiale</t>
  </si>
  <si>
    <t>A Comprehensive Review of Virtual Reality Technology for Cognitive Rehabilitation in Patients with Neurological Conditions</t>
  </si>
  <si>
    <t>virtual reality; neurological disorders; cognitive rehabilitation</t>
  </si>
  <si>
    <t>SYSTEM</t>
  </si>
  <si>
    <t>Amidst population aging and lifestyle shifts, the incidence of neurological disorders such as stroke and Alzheimer's disease is increasing, profoundly affecting patients' cognitive functions and everyday life. Conventional cognitive rehabilitation approaches often necessitate substantial time and manpower, yet their outcomes remain uncertain. Although computer-assisted cognitive rehabilitation offers convenience, it can be somewhat monotonous in its experience. Virtual reality (VR) technology has introduced a novel pathway for cognitive rehabilitation, enhancing personalization and outcome assessment through tailored immersive environments and real-time data recording. This paper aims to survey the application of VR in cognitive rehabilitation, examining its impact on improving memory, attention, motor function, and social skills. A systematic review methodology was employed, following PRISMA guidelines, to identify and analyze relevant studies from 2010 to 2023. Recognizing that patients with different conditions have varying needs for the immersive and social aspects of VR, we propose the Multi-Dimensional VR Cognitive Rehabilitation Theory Model (MD-VRCRTM). This model categorizes cognitive rehabilitation technologies into six primary types: individual immersive, individual semi-immersive, individual non-immersive, multiplayer immersive, multiplayer semi-immersive, and multiplayer non-immersive rehabilitation systems. This categorization aims to cater to the specific requirements of various patients. For instance, individuals with autism spectrum disorder (ASD) may benefit more from multiplayer VR applications to enhance social skills; those with Parkinson's disease (PD) might profit from immersive VR to facilitate motor function recovery; stroke and traumatic brain injury (TBI) patients may require highly immersive VR experiences to boost concentration and treatment efficacy; and Alzheimer's disease (AD) patients may be better suited to non-immersive or semi-immersive VR to minimize cognitive load and receive cognitive stimulation.</t>
  </si>
  <si>
    <t>[Quan, Wei; Liu, Shikai; Cao, Meng; Zhao, Jiale] Nanjing Audit Univ, Sch Stat &amp; Data Sci, 86 Yushan West Rd, Nanjing 211815, Peoples R China</t>
  </si>
  <si>
    <t>Nanjing Audit University</t>
  </si>
  <si>
    <t>Liu, SK (corresponding author), Nanjing Audit Univ, Sch Stat &amp; Data Sci, 86 Yushan West Rd, Nanjing 211815, Peoples R China.</t>
  </si>
  <si>
    <t>270636@nau.edu.cn; ma2308020@stu.nau.edu.cn; mp2308018@stu.nau.edu.cn; 212090629@stu.nau.edu.cn</t>
  </si>
  <si>
    <t>zhao, jiale/AGC-8467-2022; Liu, Shikai/LQK-2545-2024</t>
  </si>
  <si>
    <t>Liu, Shikai/0009-0002-8624-0445</t>
  </si>
  <si>
    <t>National Natural Science Foundation of China [62006121]; National Social Science Fund of China [23BFX038]; Humanities and Social Science Fund of the Ministry of Education of China [23YJA870009]; Significant Project of Jiangsu College Philosophy and Social Sciences Research [2021SJZDA153]; National College Students Innovation and Entrepreneurship Training Program [202311287050Z]</t>
  </si>
  <si>
    <t>National Natural Science Foundation of China(National Natural Science Foundation of China (NSFC)); National Social Science Fund of China; Humanities and Social Science Fund of the Ministry of Education of China(Ministry of Education, China); Significant Project of Jiangsu College Philosophy and Social Sciences Research; National College Students Innovation and Entrepreneurship Training Program</t>
  </si>
  <si>
    <t>This research was supported by the National Natural Science Foundation of China [62006121]; the National Social Science Fund of China [23BFX038]; the Humanities and Social Science Fund of the Ministry of Education of China [23YJA870009]; the Significant Project of Jiangsu College Philosophy and Social Sciences Research [2021SJZDA153]; and the National College Students Innovation and Entrepreneurship Training Program [202311287050Z].</t>
  </si>
  <si>
    <t>10.3390/app14146285</t>
  </si>
  <si>
    <t>ZP3H7</t>
  </si>
  <si>
    <t>WOS:001276456100001</t>
  </si>
  <si>
    <t>Mitsea, E; Drigas, A; Skianis, C</t>
  </si>
  <si>
    <t>Mitsea, Eleni; Drigas, Athanasios; Skianis, Charalabos</t>
  </si>
  <si>
    <t>Virtual Reality Mindfulness for Meta-Competence Training among People with Different Mental Disorders: A Systematic Review</t>
  </si>
  <si>
    <t>PSYCHIATRY INTERNATIONAL</t>
  </si>
  <si>
    <t>mindfulness strategies; virtual reality; autism spectrum disorder; attention deficit and hyperactivity disorder; mood disorder; anxiety disorder; behavioral disorders; self-awareness attentional regulation; emotional regulation; self-control; impulse control; flexibility</t>
  </si>
  <si>
    <t>DEFICIT HYPERACTIVITY DISORDER; AUTISM SPECTRUM DISORDER; STRESS REDUCTION; SELF-AFFIRMATION; HEALTH-BENEFITS; 8 PILLARS; INTERVENTIONS; INTELLIGENCE; INDIVIDUALS; RETARDATION</t>
  </si>
  <si>
    <t>International psychiatry is facing major challenges due to the rapid increase in mental health issues. The forthcoming mental health crisis has opened the debate about the need to broaden the therapeutic horizons with the implementation of digitally assisted mindfulness practices within psychotherapeutic interventions. Mindfulness training is developing into a promising intervention for a variety of health problems and a booster of well-being. At the same time, virtual reality (VR) and especially immersive technologies are increasingly being used as assistive tools in the training of people with special education needs and disabilities (SEND). Meta-competences refer to a set of self-development skills that incorporate meta-cognitive and meta-emotional attributes, enabling individuals to be self-conscious, self-regulated, and flexible in every aspect of human life. The current review aims to investigate (i) the efficacy of mindfulness strategies in meta-competence training for SEND and (ii) the role of VR as an assistive technology in mindfulness training. The PRISMA 2020 methodology was utilized to respond to the objectives and research questions. The database search provided 1380 records, and 29 studies met the inclusion criteria. The results showed that mindfulness training has the potential to train meta-cognitive and meta-emotional competences among people with different mental disorders, including Attention Deficit/Hyperactivity Disorder (ADHD), Autism Spectrum Disorder (ASD), Intellectual Disability (ID), Depressive Disorder, Stress Disorder, and Specific Learning Disorder. VR was found to be an effective assistive technology, providing significant advantages compared to conventional mindfulness interventions. Mindfulness training assisted by immersive technologies was found to significantly improve a wide range of cognitive and socio-emotional meta-competences, including self-awareness, inhibition control, attention regulation, flexibility, positive thinking, and emotional regulation. The results of this systematic review may provide positive feedback for creating inclusive digital training environments.</t>
  </si>
  <si>
    <t>[Mitsea, Eleni; Drigas, Athanasios] Natl Ctr Sci Res Demokritos Athens, Inst Informat &amp; Telecommun, Net Media Lab &amp; Mind &amp; Brain R&amp;D, Athens 15341, Greece; [Mitsea, Eleni; Skianis, Charalabos] Univ Aegean, Dept Informat &amp; Commun Syst Engn, Mitilini 82300, Greece</t>
  </si>
  <si>
    <t>National Centre of Scientific Research Demokritos; University of Aegean</t>
  </si>
  <si>
    <t>Mitsea, E (corresponding author), Natl Ctr Sci Res Demokritos Athens, Inst Informat &amp; Telecommun, Net Media Lab &amp; Mind &amp; Brain R&amp;D, Athens 15341, Greece.;Mitsea, E (corresponding author), Univ Aegean, Dept Informat &amp; Commun Syst Engn, Mitilini 82300, Greece.</t>
  </si>
  <si>
    <t>e.mitsea@gmail.com; dr@iit.demokritos.gr; cskianis@aegean.gr</t>
  </si>
  <si>
    <t>Mitsea, Eleni/0000-0003-4054-6318</t>
  </si>
  <si>
    <t>2673-5318</t>
  </si>
  <si>
    <t>PSYCHIAT INT</t>
  </si>
  <si>
    <t>Psychiatry Int.</t>
  </si>
  <si>
    <t>10.3390/psychiatryint4040031</t>
  </si>
  <si>
    <t>DG0Q9</t>
  </si>
  <si>
    <t>WOS:001130762400001</t>
  </si>
  <si>
    <t>de Almeida, AFS; da Silva, TD; de Moraes, IAP; de Menezes, LD; Dias, ED; de Araújo, LV; Monteiro, CBD; Dawes, H; Simcsik, AO; Alberissi, CAD; da Silva, VYH; Brunherotti, MAA; Tonello, MGM</t>
  </si>
  <si>
    <t>de Almeida, Amanda Figueiredo Santos; da Silva, Talita Dias; de Moraes, Ibis Ariana Pena; de Menezes, Lilian Del Ciello; Dias, Eduardo Dati; de Araujo, Luciano Vieira; Monteiro, Carlos Bandeira de Mello; Dawes, Helen; Simcsik, Amanda Orasmo; Alberissi, Camila Aparecida de Oliveira; da Silva, Victoria Yanara Hernandes; Brunherotti, Marisa Afonso Andrade; Tonello, Maria Georgina Marques</t>
  </si>
  <si>
    <t>Virtual reality as a telerehabilitation strategy for people with autism spectrum disorder during the COVID-19 quarantine scenario: physical activity, motor performance and enjoyment</t>
  </si>
  <si>
    <t>DISABILITY AND REHABILITATION-ASSISTIVE TECHNOLOGY</t>
  </si>
  <si>
    <t>Autism spectrum disorder; telerehabilitation; virtual reality; rehabilitation; physical functional performance</t>
  </si>
  <si>
    <t>BRUNEL MOOD SCALE; ACTIVITY PARTICIPATION; PERCEIVED EXERTION; ADOLESCENTS; CHILDREN; INTERVENTION; INDIVIDUALS; STROKE; IMPACT</t>
  </si>
  <si>
    <t>PurposePeople with autism spectrum disorder could benefit from physical activity during the pandemic and COVID-19 restrictions, mainly to maintain adequate physical activity. We aimed to evaluate the feasibility, enjoyment, and potential effect of telerehabilitation using a serious game named 'MoveHero'.Materials and methodsRegistered in Clinical Trials (NCT04402034). We adopted a remotely run Telerehabilitation research design with 44 participants recruited: 22 People with ASD people and 22 non-ASD individuals.ResultsAll participants safely participated, 100% adherence to sessions, &amp; SIM;60% enjoying the task, and significantly improved performance, with better performance for the NA group at most practice moments.ConclusionsOur findings support both how to implement a gaming intervention and the need to investigate the efficacy of serious games to motivate moderate intensity physical activity in people with ASD. A new and thrilling way to promote physical activity is through telerehabilitation to people with Autism Spectrum Disorder.A tool that can possibly influence the mood of people with Autism Spectrum Disorder.Help to implement home-based rehabilitation to people with Autism Spectrum Disorder.</t>
  </si>
  <si>
    <t>[de Almeida, Amanda Figueiredo Santos; Brunherotti, Marisa Afonso Andrade; Tonello, Maria Georgina Marques] Univ Franca Unifran, Programa Promocao Saude, Sao Paulo, Brazil; [da Silva, Talita Dias; de Moraes, Ibis Ariana Pena; Dias, Eduardo Dati; de Araujo, Luciano Vieira; Monteiro, Carlos Bandeira de Mello; Simcsik, Amanda Orasmo; Alberissi, Camila Aparecida de Oliveira; da Silva, Victoria Yanara Hernandes] Univ Sao Paulo EACH USP, Grp Pesquisa &amp; Aplicacoes Tecnol Rehabil PATER, Escola Artes Ciencias &amp; Humanidades, Sao, Brazil; [da Silva, Talita Dias; de Menezes, Lilian Del Ciello; da Silva, Victoria Yanara Hernandes] Univ Fed Sao Paulo UNIFESP, Dept Med Cardiol, Escola Paulista Med, Sao Paulo, SP, Brazil; [da Silva, Talita Dias; de Moraes, Ibis Ariana Pena] Univ Cidade Sao Paulo UNICID R Butanta, Fac Med, Sao Paulo, Brazil; [de Moraes, Ibis Ariana Pena; Dias, Eduardo Dati; Monteiro, Carlos Bandeira de Mello] Univ Sao Paulo, Fac Med, Cidade Univ, Sao Paulo, Brazil; [de Moraes, Ibis Ariana Pena; Dawes, Helen] Univ Oxford, Dept Clin Neurol, Oxford, England; [de Moraes, Ibis Ariana Pena; Dawes, Helen] Univ Exeter, Coll Med &amp; Hlth, NIHR Exeter Biomed Res Ctr, Exeter, England</t>
  </si>
  <si>
    <t>Universidad de Franca; Universidade Federal de Sao Paulo (UNIFESP); Universidade de Sao Paulo; University of Oxford; University of Exeter</t>
  </si>
  <si>
    <t>Dawes, H (corresponding author), Univ Oxford, Dept Clin Neurol, Oxford, England.;Dawes, H (corresponding author), Univ Exeter, Coll Med &amp; Hlth, NIHR Exeter Biomed Res Ctr, Exeter, England.</t>
  </si>
  <si>
    <t>h.dawes@exeter.ac.uk</t>
  </si>
  <si>
    <t>Dias, Eduardo/ADL-0215-2022; Silva-Magalhães, Talita/F-6519-2012; Moraes, Íbis/IUM-1940-2023; Simcsik, Amanda/IXW-7522-2023; Bandeira de Mello Monteiro, Carlos/P-2474-2016; Brunherotti, Marisa/E-8618-2013</t>
  </si>
  <si>
    <t>Bandeira de Mello Monteiro, Carlos/0000-0002-2661-775X; Dati Dias, Eduardo/0000-0002-6649-3237; Brunherotti, Marisa/0000-0002-8058-8523; Moraes, Ibis/0000-0002-1672-2628; Dawes, Helen/0000-0002-2933-5213</t>
  </si>
  <si>
    <t>NIHR Exeter Biomedical Research Centre; Coordenacao de Aperfeicoamento de Pessoal de NivelSuperior; Conselho Nacional de Desenvolvimento Cientifico eTecnologico; Fundacao de Amparoa Pesquisa do Estado deSao Paulo</t>
  </si>
  <si>
    <t>NIHR Exeter Biomedical Research Centre; Coordenacao de Aperfeicoamento de Pessoal de NivelSuperior(Coordenacao de Aperfeicoamento de Pessoal de Nivel Superior (CAPES)); Conselho Nacional de Desenvolvimento Cientifico eTecnologico(Conselho Nacional de Desenvolvimento Cientifico e Tecnologico (CNPQ)); Fundacao de Amparoa Pesquisa do Estado deSao Paulo(Fundacao de Amparo a Pesquisa do Estado de Sao Paulo (FAPESP))</t>
  </si>
  <si>
    <t>This work was supported by NIHR Exeter Biomedical Research Centre, Coordenacao de Aperfeicoamento de Pessoal de NivelSuperior, Conselho Nacional de Desenvolvimento Cientifico eTecnologico and Fundacao de Amparoa Pesquisa do Estado deSao Paulo.</t>
  </si>
  <si>
    <t>1748-3107</t>
  </si>
  <si>
    <t>1748-3115</t>
  </si>
  <si>
    <t>DISABIL REHABIL-ASSI</t>
  </si>
  <si>
    <t>Disabil. Rehabil.-Assist. Technol.</t>
  </si>
  <si>
    <t>10.1080/17483107.2023.2249031</t>
  </si>
  <si>
    <t>SEP 2023</t>
  </si>
  <si>
    <t>XP7C2</t>
  </si>
  <si>
    <t>WOS:001065171400001</t>
  </si>
  <si>
    <t>Fusaro, M; Fanti, V; Chakrabarti, B</t>
  </si>
  <si>
    <t>Fusaro, Martina; Fanti, Valentina; Chakrabarti, Bhismadev</t>
  </si>
  <si>
    <t>Greater interpersonal distance in adults with autism</t>
  </si>
  <si>
    <t>adults; immersive virtual reality; interpersonal distance; autism</t>
  </si>
  <si>
    <t>PERSONAL-SPACE; SPECTRUM DISORDERS</t>
  </si>
  <si>
    <t>Social interactions are often shaped by the space we prefer to maintain between us and others, that is, interpersonal distance. Being too distant or too close to a stranger can often be perceived as odd, and lead to atypical social interactions. This calibration of appropriate interpersonal distance thus constitutes an important social skill. Individuals with autism spectrum disorder (ASD, hereafter autism) often experience difficulties with this skill, and anecdotal accounts suggest atypical interpersonal distances in their social interactions. In the current study, we systematically measured interpersonal distance in individuals with autism using immersive virtual reality (IVR) to recreate a naturalistic interaction with a full body avatar of a similar age. Participants observed their own virtual body in first-person perspective, and the other avatar in two tasks: in the first task, they approached the other avatar (active), in the second one they were approached by the other avatar (passive). Two groups of neurotypical and autistic adults, performed both tasks. Autistic adults showed greater interpersonal distance when compared to non-autistic adults. Additionally, the difference between the passive and active conditions was smaller for non-autistic compared to autistic adults. Across the full sample, greater interpersonal distance was associated with higher autism-related traits. This study provides systematic evidence for greater interpersonal distance in autistic adults using a paradigm with high ecological validity and can be useful in informing the design of appropriate environmental adjustments for shared spaces.</t>
  </si>
  <si>
    <t>[Fusaro, Martina] Fdn Santa Lucia, Social Neurosci Lab, Rome, Italy; [Fusaro, Martina] Sapienza Univ Rome, Dept Psychol, Rome, Italy; [Fanti, Valentina; Chakrabarti, Bhismadev] Univ Reading, Ctr Autism, Sch Psychol &amp; Clin Language Sci, Reading, England; [Chakrabarti, Bhismadev] India Autism Ctr, Kolkata, W Bengal, India; [Chakrabarti, Bhismadev] Ashoka Univ, Dept Psychol, Sonepat, Haryana, India</t>
  </si>
  <si>
    <t>IRCCS Santa Lucia; Sapienza University Rome; University of Reading; Ashoka University</t>
  </si>
  <si>
    <t>Chakrabarti, B (corresponding author), Univ Reading, Ctr Autism, Sch Psychol &amp; Clin Language Sci, Reading, England.;Chakrabarti, B (corresponding author), India Autism Ctr, Kolkata, W Bengal, India.;Chakrabarti, B (corresponding author), Ashoka Univ, Dept Psychol, Sonepat, Haryana, India.</t>
  </si>
  <si>
    <t>b.chakrabarti@reading.ac.uk</t>
  </si>
  <si>
    <t>Fusaro, Martina/K-3389-2018</t>
  </si>
  <si>
    <t>Italian Ministry of Health [GR-2019-12369761]; BE FOR ERC Grant from Sapienza University of Rome; European Research Council; University of Reading; Medical Research Council UK [MR/S036423/1]; [865568]</t>
  </si>
  <si>
    <t>Italian Ministry of Health(Ministry of Health, Italy); BE FOR ERC Grant from Sapienza University of Rome(European Research Council (ERC)); European Research Council(European Research Council (ERC)); University of Reading; Medical Research Council UK(UK Research &amp; Innovation (UKRI)Medical Research Council UK (MRC));</t>
  </si>
  <si>
    <t>MF is supported by the Italian Ministry of Health (Grant Sponsor: Ricerca Finalizzata, Giovani Ricercatori 2019, Grant number: GR-2019-12369761) and by the BE FOR ERC Grant from Sapienza University of Rome. VF is supported by the European Research Council (Grant number: 865568) and the University of Reading. BC is supported by the Medical Research Council UK (Grant reference: MR/S036423/1) and the European Research Council (Grant number: 865568).</t>
  </si>
  <si>
    <t>10.1002/aur.3013</t>
  </si>
  <si>
    <t>X4MO8</t>
  </si>
  <si>
    <t>Green Published, Green Accepted, hybrid</t>
  </si>
  <si>
    <t>WOS:001060092300001</t>
  </si>
  <si>
    <t>Effects of Adaptive Prompts in Virtual Reality-Based Social Skills Training for Children with Autism</t>
  </si>
  <si>
    <t>Virtual reality-based training; Autism spectrum disorder; Adaptivity design; Verbal prompt; Educational data mining; Learning analytics</t>
  </si>
  <si>
    <t>SPECTRUM DISORDER; PRESCHOOL-CHILDREN; MIND; COMPETENCE; ENGAGEMENT; IDENTITY; PEOPLE</t>
  </si>
  <si>
    <t>The purpose of this single-case experimental design (SCED) study is to investigate how adaptive prompts in virtual reality (VR)-based social skills training affect the social skills performance of autistic children. Adaptive prompts are driven by autistic children's emotional states. To integrate adaptive prompts in VR-based training, we conducted speech data mining and endorsed micro-adaptivity design. We recruited four autistic children (12-13 years) for the SCED study. We carried out alternating treatments design to evaluate the impacts of adaptive and non-adaptive prompting conditions throughout a series of VR-based social skills training sessions. Using mixed-method data collection and analyses, we found that adaptive prompts can foster autistic children's desirable social skills performance in VR-based training. Based on the study findings, we also describe design implications and limitations for future research.</t>
  </si>
  <si>
    <t>[Moon, Jewoong] Univ Alabama, Dept Educ Leadership Policy &amp; Technol Studies, Tuscaloosa, AL 35487 USA; [Ke, Fengfeng] Florida State Univ, Dept Educ Psychol &amp; Learning Syst, Tallahassee, FL USA</t>
  </si>
  <si>
    <t>University of Alabama System; University of Alabama Tuscaloosa; State University System of Florida; Florida State University</t>
  </si>
  <si>
    <t>Moon, J (corresponding author), Univ Alabama, Dept Educ Leadership Policy &amp; Technol Studies, Tuscaloosa, AL 35487 USA.</t>
  </si>
  <si>
    <t>jmoon19@ua.edu</t>
  </si>
  <si>
    <t>10.1007/s10803-023-06021-7</t>
  </si>
  <si>
    <t>A6Y7D</t>
  </si>
  <si>
    <t>WOS:000995446400001</t>
  </si>
  <si>
    <t>Tarantino, L; Attanasio, M; Di Mascio, T; De Gasperis, G; Valenti, M; Mazza, M</t>
  </si>
  <si>
    <t>Tarantino, Laura; Attanasio, Margherita; Di Mascio, Tania; De Gasperis, Giovanni; Valenti, Marco; Mazza, Monica</t>
  </si>
  <si>
    <t>On the Evaluation of Engagement in Immersive Applications When Users Are on the Autism Spectrum</t>
  </si>
  <si>
    <t>autism; ICT-enhanced ASD treatment; augmented reality; virtual reality; VR solution assessment; social impact</t>
  </si>
  <si>
    <t>TEACH SOCIAL-SKILLS; DAILY LIVING SKILLS; VIRTUAL-REALITY; DISORDER ASD; YOUNG-ADULTS; CHILDREN; ENVIRONMENTS; ADOLESCENTS; TECHNOLOGY; SELF</t>
  </si>
  <si>
    <t>New generation wearable devices allow for the development of interactive environments tailored for Virtual Reality (VR)- and Augmented Reality (AR)-based treatment of Autism Spectrum Disorders (ASD). Experts agree on their potential; however, there is lack of consensus on how to perform trials and the need arises for evaluation frameworks, methods, and techniques appropriate for the ASD population. In this paper, we report on a study conducted with high-functioning ASD people in the 21-23 age range, with the objectives of (1) evaluating the engagement of two headsets offering distinct immersive experiences, (2) reasoning on the interpretation of engagement factors in the case of ASD people, and (3) translating results into general guidelines for the development of VR/AR-based ASD treatment. To this aim, we (1) designed two engagement evaluation frameworks based on behavioral observation measures, (2) set up two packages of reference immersive scenarios, (3) defined the association between metrics and scenarios, and (4) administered the scenarios in distinct sessions for the investigated headsets. Results show that the immersive experiences are engaging and that the apparent lack of success of some evaluation factors can become potential advantages within the framework of VR/AR-based ASD treatment design.</t>
  </si>
  <si>
    <t>[Tarantino, Laura; Di Mascio, Tania; De Gasperis, Giovanni] Univ Aquila, Dept Informat Engn Comp Sci &amp; Math, Via Vetoio, I-67100 Laquila, Italy; [Attanasio, Margherita; Valenti, Marco; Mazza, Monica] Univ Aquila, Dept Biotechnol &amp; Appl Clin Sci, Via Vetoio, I-67100 Laquila, Italy; [Valenti, Marco] Local Hlth Unit ASL 1, Reg Reference Ctr Autism Abruzzo Reg, I-67100 Laquila, Italy</t>
  </si>
  <si>
    <t>University of L'Aquila; University of L'Aquila</t>
  </si>
  <si>
    <t>Tarantino, L (corresponding author), Univ Aquila, Dept Informat Engn Comp Sci &amp; Math, Via Vetoio, I-67100 Laquila, Italy.</t>
  </si>
  <si>
    <t>laura.tarantino@univaq.it</t>
  </si>
  <si>
    <t>De Gasperis, Giovanni/C-3800-2011; VALENTI, MARCO/AAO-1383-2020; Mazza, Mario/W-4083-2019; ATTANASIO, MARGHERITA/ISB-9231-2023; Di Mascio, Tania/M-9725-2016; Valenti, Marco/F-4818-2015</t>
  </si>
  <si>
    <t>ATTANASIO, MARGHERITA/0000-0002-4571-3173; Di Mascio, Tania/0000-0002-8069-1168; De Gasperis, Giovanni/0000-0001-9521-4711; Valenti, Marco/0000-0001-9043-3456</t>
  </si>
  <si>
    <t>10.3390/s23042192</t>
  </si>
  <si>
    <t>9L1RS</t>
  </si>
  <si>
    <t>WOS:000941334100001</t>
  </si>
  <si>
    <t>Kent, JA; Hughes, CE</t>
  </si>
  <si>
    <t>Kent, Julie A.; Hughes, Charles E.</t>
  </si>
  <si>
    <t>Law enforcement training using simulation for locally customized encounters</t>
  </si>
  <si>
    <t>social interaction simulator; autism spectrum disorder; law enforcement training; social skills practice; virtual reality police training; de-escalation training in virtual reality; police scenarios in virtual reality</t>
  </si>
  <si>
    <t>Law enforcement professionals require up to date training for interacting with individuals on the autism spectrum in a manner that facilitates positive citizen response. Although these officers interact with the public regularly, they may only have sporadic interactions with citizens who are not neurotypical. The timing of these interactions is not easy to predict; therefore, it is important to provide regular opportunities to practice contacts with special needs communities. However, in much the same way that it can be difficult to provide regular sessions with other protected groups of people, it is not practical to pull individuals on the autism spectrum to participate in law enforcement training. Role play with neurotypical individuals and classroom training presenting facts about autism do little to prepare these officers for their real-world encounters. Virtual interactions with people on the autism spectrum allow officers to practice techniques without compromising the health and safety of the communities they serve. This paper presents results of a study comparing police training through experiences in virtual reality (VR) with video training regarding police interactions with individuals on the autism spectrum. Police officers in a municipal police department who participated in the study were divided into three groups for continuing training purposes. One group received video training, one group received practice in VR, and one group received training through both video and VR. The differences in training method did not result in significant differences in training effectiveness. However, subjective data did support the efficacy of practice in a virtual setting. This project addressed three important challenges with training in VR. First, the team needed to define the specifics of behavior and language that the simulated individuals would exhibit. Second, the VR had to be tailored to be relevant to the officers participating. Third and finally, the schedule for training delivery had to minimize the time that officers were away from their assigned duties. Officer feedback on their training experiences indicated the approach to these challenges was well-received. The primary research question is whether training in VR is any more effective that watching a training video.</t>
  </si>
  <si>
    <t>[Kent, Julie A.; Hughes, Charles E.] Univ Cent Florida, Coll Grad Studies, Sch Modeling Simulat &amp; Training, Synthet Real Lab, Orlando, FL 32816 USA; [Kent, Julie A.] MITRE Corp, Orlando, FL 32817 USA; [Hughes, Charles E.] Univ Cent Florida, Coll Engn &amp; Comp Sci, Dept Comp Sci, Orlando, FL USA</t>
  </si>
  <si>
    <t>State University System of Florida; University of Central Florida; MITRE Corporation; State University System of Florida; University of Central Florida</t>
  </si>
  <si>
    <t>Kent, JA (corresponding author), Univ Cent Florida, Coll Grad Studies, Sch Modeling Simulat &amp; Training, Synthet Real Lab, Orlando, FL 32816 USA.;Kent, JA (corresponding author), MITRE Corp, Orlando, FL 32817 USA.</t>
  </si>
  <si>
    <t>jakent@knights.ucf.edu</t>
  </si>
  <si>
    <t>Hughes, Charlie/MZS-2057-2025</t>
  </si>
  <si>
    <t>Hughes, Charles/0000-0002-2528-3380</t>
  </si>
  <si>
    <t>I/ITSEC conference; National Science Foundation [2120240, 2114808, 1725554]; U.S. Department of Education [P116S210001, H327S210005, H327S200009H]</t>
  </si>
  <si>
    <t>I/ITSEC conference; National Science Foundation(National Science Foundation (NSF)); U.S. Department of Education(US Department of Education)</t>
  </si>
  <si>
    <t>&amp; nbsp;This research was supported in part by a scholarship from the I/ITSEC conference and by grants from the National Science Foundation Grants # 2120240, 2114808, 1725554, and from the U.S. Department of Education Grants #P116S210001, H327S210005, H327S200009H Any opinions, findings, and conclusions or recommendations expressed in this material are those of the authors and do not necessarily reflect the views of the sponsors.</t>
  </si>
  <si>
    <t>SEP 6</t>
  </si>
  <si>
    <t>10.3389/frvir.2022.960146</t>
  </si>
  <si>
    <t>L4XC2</t>
  </si>
  <si>
    <t>WOS:001023300800001</t>
  </si>
  <si>
    <t>Wang, XY; Zhu, XW; Lin, JJ</t>
  </si>
  <si>
    <t>Wang, Xiaoyang; Zhu, Xiaowen; Lin, Jingjing</t>
  </si>
  <si>
    <t>Application of Virtual Reality Technology in Adolescent Mental Health Science Education</t>
  </si>
  <si>
    <t>WIRELESS COMMUNICATIONS &amp; MOBILE COMPUTING</t>
  </si>
  <si>
    <t>SIMULATION</t>
  </si>
  <si>
    <t>The 21st century is a time of rapid advances in science and technology, and scientific knowledge and literacy are highly relevant to the development of the country. Science education is the main means of learning scientific and cultural knowledge, and its teaching quality determines the formation of national scientific literacy. In addition, information technology teaching assistants are one of the main research areas in the field of educational technology, and they have long attracted the attention of researchers in the field of education. Based on these facts, this research introduces virtual reality technology into science education to make a favorable influence on the psychological well-being of young people, through color feature extraction, gray-level cooccurrence matrix feature extraction, Marching Cubes algorithm, and image synthesis technology to be scientifically and effectively combined with science education, and the popularization rate of students receiving science education has increased by 26.9%. As a result, the mental health of students was improved, and the number of students with subhealth mentality decreased by 16.9%. Adolescence is a transitional period for adolescents from immaturity to maturity. Adolescents are prone to fall into depression, anxiety, rebellion, autism, and other emotions, which will have a damaging impact on the growth of adolescents' mental health. The use of virtual reality technology in science education has opened up a new field of virtual teaching and learning. This pattern of education will make a huge influence on the future growth of education and the creation of teaching concepts.</t>
  </si>
  <si>
    <t>[Wang, Xiaoyang; Zhu, Xiaowen] Xi An Jiao Tong Univ, Humanities &amp; Social Sci Sch, Xian 710049, Shanxi, Peoples R China; [Wang, Xiaoyang] Zhejiang Ocean Univ, Zhoushan 316000, Zhejiang, Peoples R China; [Lin, Jingjing] Nanhai Expt Sch, Zhoushan 31600, Zhejiang, Peoples R China</t>
  </si>
  <si>
    <t>Xi'an Jiaotong University; Zhejiang Ocean University</t>
  </si>
  <si>
    <t>Wang, XY (corresponding author), Xi An Jiao Tong Univ, Humanities &amp; Social Sci Sch, Xian 710049, Shanxi, Peoples R China.;Wang, XY (corresponding author), Zhejiang Ocean Univ, Zhoushan 316000, Zhejiang, Peoples R China.</t>
  </si>
  <si>
    <t>xyangwang@zjou.edu.cn</t>
  </si>
  <si>
    <t>Lin, Jingjing/K-4908-2012</t>
  </si>
  <si>
    <t>WILEY-HINDAWI</t>
  </si>
  <si>
    <t>ADAM HOUSE, 3RD FL, 1 FITZROY SQ, LONDON, WIT 5HE, ENGLAND</t>
  </si>
  <si>
    <t>1530-8669</t>
  </si>
  <si>
    <t>1530-8677</t>
  </si>
  <si>
    <t>WIREL COMMUN MOB COM</t>
  </si>
  <si>
    <t>Wirel. Commun. Mob. Comput.</t>
  </si>
  <si>
    <t>AUG 9</t>
  </si>
  <si>
    <t>10.1155/2022/8783355</t>
  </si>
  <si>
    <t>3X8TD</t>
  </si>
  <si>
    <t>WOS:000843306000011</t>
  </si>
  <si>
    <t>Newbutt, N; Bradley, R</t>
  </si>
  <si>
    <t>Newbutt, Nigel; Bradley, Ryan</t>
  </si>
  <si>
    <t>Using immersive virtual reality with autistic pupils: moving towards greater inclusion and co-participation through ethical practices</t>
  </si>
  <si>
    <t>Children; Ethics; Participatory; Autistic; Head-mounted display; Immersive virtual reality</t>
  </si>
  <si>
    <t>SPECTRUM DISORDER; ADOLESCENTS; ADULTS; ENVIRONMENTS; PREVALENCE; US</t>
  </si>
  <si>
    <t>Purpose The potential of head mounted displays based virtual reality (HMD-based VR) for autistic groups has been well documented. However, the deployment and application of this technology, especially in schools, has been extremely limited. One of the main criticisms in this field has been the lack of involvement from practitioners in research on educational approaches for autistic populations and the gap between research and practice in real-life settings. Design/methodology/approach This conceptual article focuses on our research in a UK-based special needs school that sought to examine the effects and potential use of VR-HMDs, while seeking to establish best practices for safe and ethical application using this technology. This draws upon ethical and participatory research guidance, including British Educational Research Association and Autism Participatory Research. Findings The authors make recommendations on planning and implementing a participatory, safe and ethical approach to researching the use of VR-HMDs in special needs schools and engaging with the priorities of autistic children and young people and their teachers. Originality/value This conceptual article provides an initial first consideration of ways we can better include autistic people and their views in research that is with and about them. The value in this will mean we are able to better support autistic groups moving ahead using VR HMD-based technologies. Without this paradigm shift and including autistic people (and their stakeholders) the field might continue to build initiatives around medical-based models of disabilities rather that what the community need/want.</t>
  </si>
  <si>
    <t>[Newbutt, Nigel] Univ Florida, Inst Adv Learning Technol, Coll Educ, Gainesville, FL 32611 USA; [Bradley, Ryan] Univ Birmingham, Birmingham, W Midlands, England</t>
  </si>
  <si>
    <t>State University System of Florida; University of Florida; University of Birmingham</t>
  </si>
  <si>
    <t>Newbutt, N (corresponding author), Univ Florida, Inst Adv Learning Technol, Coll Educ, Gainesville, FL 32611 USA.</t>
  </si>
  <si>
    <t>nigel.newbutt@coe.ufl.edu</t>
  </si>
  <si>
    <t>AUG 15</t>
  </si>
  <si>
    <t>10.1108/JET-01-2022-0010</t>
  </si>
  <si>
    <t>3S4VB</t>
  </si>
  <si>
    <t>WOS:000778220100001</t>
  </si>
  <si>
    <t>He, JL; Zhang, HY; Zhao, HY</t>
  </si>
  <si>
    <t>Jialiang, He; Haiyan, Zhang; Huiying, Zhao</t>
  </si>
  <si>
    <t>Research on the auxiliary treatment system of childhood autism based on virtual reality</t>
  </si>
  <si>
    <t>JOURNAL OF DECISION SYSTEMS</t>
  </si>
  <si>
    <t>Autism; virtual reality; educational rehabilitation</t>
  </si>
  <si>
    <t>FUZZY; NETWORKS; PEOPLE</t>
  </si>
  <si>
    <t>Autism, is a representative disease of neurodevelopmental disorders. Numerous autistic individuals are drawn to familiar settings and regular routines because of their behavioural, information processing, and sensory characteristics. Traditional treatment methods are restricted by medical and educational resources . The emergence of virtual reality technology (VR) has provided new ideas for the rehabilitation of autism. Based on the cognitive theory of children with autism , this paper designs an auxiliary treatment system for children with autism based on virtual reality. Through multiple training scenarios and using behaviour tree decision technology to process the intelligent decision-making of the role, the child can interact with the role and complete tasks in the present situation. Through experiments, children with autism have improved their hands-on ability, social skills and physical coordination. This shows that the system has a significant effect on the treatment of autism patients, confirming the feasibility of introducing virtual reality technology into autism treatment.</t>
  </si>
  <si>
    <t>[Jialiang, He; Haiyan, Zhang] Dalian Nationalities Univ, Coll Informat &amp; Commun Engn, Dalian, Peoples R China; [Huiying, Zhao] Lu Xun Acad Fine Arts, Coll Arts &amp; Crafts, Dalian, Peoples R China</t>
  </si>
  <si>
    <t>Dalian Minzu University; Lu Xun Academy of Fine Arts</t>
  </si>
  <si>
    <t>Zhao, HY (corresponding author), Lu Xun Acad Fine Arts, Dalian 116650, Peoples R China.</t>
  </si>
  <si>
    <t>Zhaohuiying@lumei.edu.cn</t>
  </si>
  <si>
    <t>zhao, huiying/HKO-3636-2023</t>
  </si>
  <si>
    <t>Education Department of Liaoning Province, China [LJKZ0038]</t>
  </si>
  <si>
    <t>Education Department of Liaoning Province, China</t>
  </si>
  <si>
    <t>This work was fully supported by 2021 Scientific Research Funding Project of the Education Department of Liaoning Province, China (No: LJKZ0038)</t>
  </si>
  <si>
    <t>1246-0125</t>
  </si>
  <si>
    <t>2116-7052</t>
  </si>
  <si>
    <t>J DECIS SYST</t>
  </si>
  <si>
    <t>J. Decis. Syst.</t>
  </si>
  <si>
    <t>2021 DEC 18</t>
  </si>
  <si>
    <t>10.1080/12460125.2021.2003512</t>
  </si>
  <si>
    <t>DEC 2021</t>
  </si>
  <si>
    <t>Operations Research &amp; Management Science</t>
  </si>
  <si>
    <t>XR9ZE</t>
  </si>
  <si>
    <t>WOS:000732577900001</t>
  </si>
  <si>
    <t>Rodríguez, C; Areces, D; García, T; Cueli, M; Gonzalez-Castro, P</t>
  </si>
  <si>
    <t>Rodriguez, Celestino; Areces, Debora; Garcia, Trinidad; Cueli, Marisol; Gonzalez-Castro, Paloma</t>
  </si>
  <si>
    <t>Neurodevelopmental disorders: An innovative perspective via the response to intervention model</t>
  </si>
  <si>
    <t>WORLD JOURNAL OF PSYCHIATRY</t>
  </si>
  <si>
    <t>Neurodevelopmental disorders; Specific learning disorder; Response to intervention model; Virtual reality</t>
  </si>
  <si>
    <t>DEFICIT HYPERACTIVITY DISORDER; VIRTUAL-REALITY; EXECUTIVE FUNCTIONS; ACADEMIC-ACHIEVEMENT; RTI; ADHD; MATHEMATICS; PERFORMANCE; CHILDREN; REHABILITATION</t>
  </si>
  <si>
    <t>Neurodevelopmental disorders are a group of conditions classified together by the most recent edition of the Diagnostic and Statistical Manual of Mental Disorders which include intellectual disability, communication disorders, autism spectrum disorder, attention-deficit/hyperactivity disorder, specific learning disorder (SLD), and motor disorders. SLD is present in many students, who exhibit significant difficulties in the acquisition of reading, written expression, and mathematics, mostly due to problems with executive functions (EF). The present study is a review of the current situation of neurodevelopmental disorders and SLD focusing on the benefits of the response to intervention model (RtI), which allows the combination of evaluation and intervention processes. It also addresses the key role of EF. The importance of adapting RtI to new possibilities such as the use of virtual reality is discussed and a theoretical framework for carrying that out is provided.</t>
  </si>
  <si>
    <t>[Rodriguez, Celestino; Areces, Debora; Garcia, Trinidad; Cueli, Marisol; Gonzalez-Castro, Paloma] Univ Oviedo, Dept Psychol, Oviedo 33003, Asturias, Spain</t>
  </si>
  <si>
    <t>University of Oviedo</t>
  </si>
  <si>
    <t>Rodríguez, C (corresponding author), Univ Oviedo, Dept Psychol, Fac Psicol, Room 225, Oviedo 33003, Asturias, Spain.</t>
  </si>
  <si>
    <t>rodriguezcelestino@uniovi.es</t>
  </si>
  <si>
    <t>García, Trinidad/AAA-7910-2019; Areces, Débora/R-2422-2018; RodrÃguez, Celestino/B-5989-2018; GONZALEZ CASTRO, PALOMA/K-3366-2014; CUELI, MARISOL/R-1131-2018</t>
  </si>
  <si>
    <t>GONZALEZ CASTRO, PALOMA/0000-0001-6685-2933; CUELI, MARISOL/0000-0002-4662-0534</t>
  </si>
  <si>
    <t>Ministry of Sciences and Innovation I+D+i Project [PID2019-107201GB-100]; Principality of Asturias [FC-GRUPIN-IDI/2018/000199]</t>
  </si>
  <si>
    <t>Ministry of Sciences and Innovation I+D+i Project; Principality of Asturias(Principality of Asturias)</t>
  </si>
  <si>
    <t>Supported by Ministry of Sciences and Innovation I+D+i Project, No. PID2019-107201GB-100; and Principality of Asturias, No. FC-GRUPIN-IDI/2018/000199.</t>
  </si>
  <si>
    <t>BAISHIDENG PUBLISHING GROUP INC</t>
  </si>
  <si>
    <t>PLEASANTON</t>
  </si>
  <si>
    <t>7041 Koll Center Parkway, Suite 160, PLEASANTON, CA, UNITED STATES</t>
  </si>
  <si>
    <t>2220-3206</t>
  </si>
  <si>
    <t>WORLD J PSYCHIATR</t>
  </si>
  <si>
    <t>World J. Psychiatr.</t>
  </si>
  <si>
    <t>NOV 19</t>
  </si>
  <si>
    <t>10.5498/wjp.v11.i11.1017</t>
  </si>
  <si>
    <t>XJ6MU</t>
  </si>
  <si>
    <t>WOS:000726900300006</t>
  </si>
  <si>
    <t>Cox, SK; Root, JR; Gilley, D</t>
  </si>
  <si>
    <t>Cox, Sarah K.; Root, Jenny R.; Gilley, Deidre</t>
  </si>
  <si>
    <t>Let's See That Again: Using Instructional Videos to Support Asynchronous Mathematical Problem Solving Instruction for Students With Autism Spectrum Disorder</t>
  </si>
  <si>
    <t>math; content; curriculum area; autism; exceptionality; online; web-based instruction; technology perspectives</t>
  </si>
  <si>
    <t>TEACH; ADOLESCENTS; IPAD</t>
  </si>
  <si>
    <t>The Pandemic has required teachers to find ways to provide high-quality instruction in a virtual format. Video-based instruction (VBI) is a version of technology-aided instruction that has been effectively used in classrooms to improve mathematical outcomes for students with disabilities. This manuscript describes how a special education teacher can utilized VBI through free online platforms (i.e., SeeSaw, Loom) to implement a mathematical problem solving instructional strategy (modified schema-based instruction; MSBI) for students with autism spectrum disorder (ASD) while at home. MSBI utilizing VBI has successfully been used by teachers and researchers to improve additive and multiplicative problem solving skills for students with ASD. This manuscript describes how special education teachers can support students and their caregivers by providing high-quality problem solving instruction in a virtual environment.</t>
  </si>
  <si>
    <t>[Cox, Sarah K.] Eastern Michigan Univ, Dept Special Educ &amp; Commun Sci, Ypsilanti, MI 48197 USA; [Root, Jenny R.; Gilley, Deidre] Florida State Univ, Dept Curriculum &amp; Instruct, Tallahassee, FL 32306 USA</t>
  </si>
  <si>
    <t>Eastern Michigan University; State University System of Florida; Florida State University</t>
  </si>
  <si>
    <t>Cox, SK (corresponding author), Eastern Michigan Univ, 128 Porter Bldg, Ypsillanti, MI 49197 USA.</t>
  </si>
  <si>
    <t>sarahkirstencox@gmail.com</t>
  </si>
  <si>
    <t>Root, Jenny/GPP-4059-2022</t>
  </si>
  <si>
    <t>Cox, Sarah/0000-0002-2074-8839; Root, Jenny/0000-0003-4682-0832</t>
  </si>
  <si>
    <t>American Educational Research Association (Division K Small Grant); Autism Science Foundation</t>
  </si>
  <si>
    <t>The author(s) disclosed receipt of the following financial support for the research, authorship, and/or publication of this article: American Educational Research Association (Division K Small Grant) and Autism Science Foundation (Covid Pivot Grant).</t>
  </si>
  <si>
    <t>10.1177/0162643421996327</t>
  </si>
  <si>
    <t>SA6KG</t>
  </si>
  <si>
    <t>WOS:000624233700001</t>
  </si>
  <si>
    <t>Alcañiz, M; Giglioli, IAC; Sirera, M; Minissi, E; Abad, L</t>
  </si>
  <si>
    <t>Alcaniz, Mariano; Chicchi Giglioli, Irene A.; Sirera, Marian; Minissi, Eleonora; Abad, Luis</t>
  </si>
  <si>
    <t>Autism spectrum disorder biomarkers based on biosignals, virtual reality and artificial intelligence</t>
  </si>
  <si>
    <t>Autism spectrum disorder; biomarkers; biosensors; virtual reality; artificial intelligence; computational psychiatry</t>
  </si>
  <si>
    <t>PSYCHIATRY</t>
  </si>
  <si>
    <t>It has been observed that the stratification of Autism Spectrum Disorders (ASD) generated by the current scales is not effective for the personalization of early treatments. The clinical evaluation of ASD requires its consideration as a continuum of deficits, and there is a need to identify biologically significant parameters (biomarkers) that have the power to automatically characterize each individual at different stages of neurological development. The emerging field of computational psychiatry (CP) attempts to meet the needs of precision diagnosis by developing powerful computational and mathematical techniques. A growing scientific activity proposes the use of implicit measures based on biosignals for the classification of ASD. Virtual reality (VR) technologies have demonstrated potential for ASD interventions, but most of the work has used virtual reality for the learning / objective of interventions. Very few studies have used biological signals for recording and detailed analysis of behavioral responses that can be used to monitor or produce changes over time. In this paper the concept of behavioral biomarkers based on VR or VRBB is introduced. VRBB will allow the classification of ASD using a paradigm of computational psychiatry based on implicit brain processes measured through psychophysiological signals and the behavior of subjects exposed to complex replicas of social conditions using virtual reality interfaces.</t>
  </si>
  <si>
    <t>[Alcaniz, Mariano; Chicchi Giglioli, Irene A.; Minissi, Eleonora] Univ Politecn Valencia, Inst Invest &amp; Innovac Bioingn I3, Valencia, Spain; [Sirera, Marian; Abad, Luis] Ctr Desarrollo Cognit Red Cenit, Valencia, Spain</t>
  </si>
  <si>
    <t>Alcañiz, M (corresponding author), Univ Politecn Valencia, I3B CPI Cubo Azu, Camino Vera S-N, Valencia 46022, Spain.</t>
  </si>
  <si>
    <t>Alcañiz, Mariano/CAG-6569-2022; Alcaniz, Mariano/I-9659-2016</t>
  </si>
  <si>
    <t>Alcaniz, Mariano/0000-0001-9207-0636</t>
  </si>
  <si>
    <t>OK3DH</t>
  </si>
  <si>
    <t>WOS:000584532700008</t>
  </si>
  <si>
    <t>Lorenzo, G; Lorenzo-Lledó, A; Carreres, AL; Pérez-Vázquez, E</t>
  </si>
  <si>
    <t>Lorenzo, Gonzalo; Lorenzo-Lledo, Alejandro; Lledo Carreres, Asuncion; Perez-Vazquez, Elena</t>
  </si>
  <si>
    <t>Approach from a Bibliometric Perspective of the Educational Application of Virtual Reality in People with Autism Spectrum Disorder</t>
  </si>
  <si>
    <t>EDUCATION IN THE KNOWLEDGE SOCIETY</t>
  </si>
  <si>
    <t>Autism Spectrum Disorder; Education; ICTs; Bibliometric Analysis; Virtual Reality</t>
  </si>
  <si>
    <t>LEARNING ENVIRONMENTS; MENTAL-HEALTH; IMPACT FACTOR; CHILDREN; SKILLS; INDICATORS; SUPPORT; DESIGN; ADULTS</t>
  </si>
  <si>
    <t>Technology is an integrative element that can contribute to the inclusion of people with Autism Spectrum Disorder (ASD), being Virtual Reality (VR) the one that best adapts to their learning style. In this sense, the purpose of this study is to make an analysis of the scientific production on VR and ASD. The sample consisted of 248 documents belonging to the main collection of the Web of Science being analyzed according to 9 indicators. The results indicate that the United States is the largest producer on the subject and has the largest production centers, although it has a high index of isolation. Likewise, the longest period has been 2014-2017, with developmental psychology and rehabilitation being the areas of the Web of Science most present. Finally, the vast majority of journals are present in Q1, where the authors publish the most on this subject.</t>
  </si>
  <si>
    <t>[Lorenzo, Gonzalo; Lorenzo-Lledo, Alejandro; Lledo Carreres, Asuncion; Perez-Vazquez, Elena] Univ Alicante, Dept Psicol Evolut &amp; Didact, Alicante, Spain</t>
  </si>
  <si>
    <t>Lorenzo, G (corresponding author), Univ Alicante, Dept Psicol Evolut &amp; Didact, Alicante, Spain.</t>
  </si>
  <si>
    <t>glledo@ua.es; alejandro.lorenzo@ua.es; asuncion.lledo@ua.es; elena.pv@ua.es</t>
  </si>
  <si>
    <t>Lorenzo, Gonzalo/L-8243-2017; Lorenzo-Lledó, Alejandro/L-9953-2017; Pérez-Vázquez, Elena/ABF-7728-2020</t>
  </si>
  <si>
    <t>PEREZ-VAZQUEZ, ELENA/0000-0001-9738-276X; Lorenzo, Gonzalo/0000-0002-1997-6260</t>
  </si>
  <si>
    <t>EDICIONES UNIV SALAMANCA</t>
  </si>
  <si>
    <t>SALAMANCA</t>
  </si>
  <si>
    <t>Plaza de San Benito, 2, SALAMANCA, SPAIN</t>
  </si>
  <si>
    <t>2444-8729</t>
  </si>
  <si>
    <t>EDUC KNOWL SOC</t>
  </si>
  <si>
    <t>Educ. Knowl. Soc.</t>
  </si>
  <si>
    <t>FEB 25</t>
  </si>
  <si>
    <t>10.14201/eks.19522</t>
  </si>
  <si>
    <t>KR9MC</t>
  </si>
  <si>
    <t>gold, Green Submitted</t>
  </si>
  <si>
    <t>WOS:000517936200001</t>
  </si>
  <si>
    <t>Basri, MAFA; Ismail, WSW; Nor, NK; Tohit, NM; Ahmad, MN; Aun, NSM; Daud, TIM</t>
  </si>
  <si>
    <t>Basri, Mohd Akif Farhan Ahmad; Ismail, Wan Salwina Wan; Nor, Norazlin Kamal; Tohit, Noorlaili Mohd; Ahmad, Mohammad Nazir; Aun, Nur Saadah Mohamad; Daud, Tuti Iryani Mohd</t>
  </si>
  <si>
    <t>Validation of key components in designing a social skills training content using virtual reality for high functioning autism youth-A Fuzzy Delphi method</t>
  </si>
  <si>
    <t>COGNITIVE-BEHAVIORAL THERAPY; CHILDREN; ENVIRONMENT; ADOLESCENTS; SYSTEM; INTERVENTION; PEOPLE</t>
  </si>
  <si>
    <t>The use of virtual reality in social skills training for high functioning autism spectrum disorder (HFASD) youth has been found to be engaging and enjoyable. Despite the promising results, previous literature indicates that there has been no consensus on the social skills target in the training content. There is also limited research on how evidence-based strategies like cognitive and behaviour techniques are instantiated into the VR environment to teach social skills. The aim of this study is to determine the key components to design a social skills training content using virtual reality for youths with HFASD. The Fuzzy Delphi method (FDM) was used to obtain expert consensus on social skills difficulties and cognitive behavioral techniques included in the content in three phases. In phase 1, a questionnaire was developed from in-depth interviews and scientific literature review. The in-depth interviews were conducted with 13 HFASD youth, 7 parents and 6 experts. In phase 2, 3 experts rated the relevance of the items in the questionnaire using an item-level content validity index (I-CVI) assessment. In phase 3, the questionnaire was distributed to 10 experts to rate their level of agreement on each component using a 7-point Likert scale. Components that received a value above 75%, threshold value (d) &lt;= 0.2, fuzzy score (A) &gt;= alpha - cut value = 0.5 and higher rank based on defuzzification score were prioritized to be included in the content. Items that received higher expert consensus on social skills difficulties included assessing non-verbal responses, initiating, maintaining, and leaving conversations, emotional difficulties and difficulties in perspective taking. Cognitive and behavioral techniques that received higher expert consensus were psychoeducation, modelling, relaxation techniques, reinforcements, and perspective-taking questions. These key components can be used as a framework for the development of virtual learning content for social skills training in future studies.</t>
  </si>
  <si>
    <t>[Basri, Mohd Akif Farhan Ahmad; Ismail, Wan Salwina Wan; Daud, Tuti Iryani Mohd] Univ Kebangsaan Malaysia, Hosp Canselor Tuanku Muhriz, Dept Psychiat, Fac Med, Wilayah Persekutuan Kual, Malaysia; [Nor, Norazlin Kamal] Univ Kebangsaan Malaysia, Hosp Canselor Tuanku Muhriz, Dept Paediat, Fac Med, Wilayah Persekutuan Kual, Malaysia; [Tohit, Noorlaili Mohd] Univ Kebangsaan Malaysia, Hosp Canselor Tuanku Muhriz, Dept Family Med, Fac Med, Wilayah Persekutuan Kual, Malaysia; [Ahmad, Mohammad Nazir] Univ Kebangsaan Malaysia, Inst IR40, Akad Siber Teknopolis, Bangi, Selangor, Malaysia; [Aun, Nur Saadah Mohamad] Univ Kebangsaan Malaysia, Ctr Res Psychol &amp; Human Well Being, Fac Social Sci &amp; Humanities, Bangi, Selangor, Malaysia</t>
  </si>
  <si>
    <t>Universiti Kebangsaan Malaysia; Universiti Kebangsaan Malaysia; Universiti Kebangsaan Malaysia; Universiti Kebangsaan Malaysia; Universiti Kebangsaan Malaysia</t>
  </si>
  <si>
    <t>Ismail, WSW (corresponding author), Univ Kebangsaan Malaysia, Hosp Canselor Tuanku Muhriz, Dept Psychiat, Fac Med, Wilayah Persekutuan Kual, Malaysia.</t>
  </si>
  <si>
    <t>wan@ppukm.ukm.edu.my</t>
  </si>
  <si>
    <t>Mohamad Aun, Nur Saadah/ABC-6661-2020; AHMAD, Mohammad/AAU-7449-2020; Daud, Tuti/M-5626-2017; Kamal Nor, Norazlin/P-8852-2019</t>
  </si>
  <si>
    <t>Kamal Nor, Norazlin/0000-0001-9959-8089; Wan Ismail, Wan Salwina/0000-0002-9364-5195; Ahmad Basri, Mohd Akif Farhan/0000-0002-4662-2468</t>
  </si>
  <si>
    <t>Transdisciplinary Research Grant Scheme(TRGS); Ministry of Higher Education(MOHE) Malaysia [TRGS/1/2020/UKM/02/6/1]</t>
  </si>
  <si>
    <t>Transdisciplinary Research Grant Scheme(TRGS); Ministry of Higher Education(MOHE) Malaysia</t>
  </si>
  <si>
    <t>The authors acknowledge the Transdisciplinary Research Grant Scheme(TRGS), TRGS/1/2020/UKM/02/6/1 funded by the Ministry of Higher Education(MOHE) Malaysia. We would also like to acknowledge Universiti Kebangsaan Malaysia for supporting this research project. The funders had no role in study design, data collection and analysis, decision to publish, or preparation of the manuscript.</t>
  </si>
  <si>
    <t>APR 4</t>
  </si>
  <si>
    <t>e0301517</t>
  </si>
  <si>
    <t>10.1371/journal.pone.0301517</t>
  </si>
  <si>
    <t>NC5V4</t>
  </si>
  <si>
    <t>WOS:001198272000105</t>
  </si>
  <si>
    <t>Zhao, WJ; Xu, S; Zhang, YA; Li, DD; Zhu, CY; Wang, K</t>
  </si>
  <si>
    <t>Zhao, Weijia; Xu, Song; Zhang, Yanan; Li, Dandan; Zhu, Chunyan; Wang, Kai</t>
  </si>
  <si>
    <t>The Application of Extended Reality in Treating Children with Autism Spectrum Disorder</t>
  </si>
  <si>
    <t>NEUROSCIENCE BULLETIN</t>
  </si>
  <si>
    <t>Autism spectrum disorde; Extended reality; Multimodal interaction technologies; Intervention model; Treatment effectiveness evaluation</t>
  </si>
  <si>
    <t>VIRTUAL-REALITY; AUGMENTED REALITY; SOCIAL-SKILLS; EARLY INTERVENTION; MIXED-REALITY; COGNITIVE REHABILITATION; ADOLESCENTS; DESIGN; TECHNOLOGY; SYSTEM</t>
  </si>
  <si>
    <t>Autism Spectrum Disorder (ASD) is a common neurodevelopmental disorder in children, characterized by social interaction, communication difficulties, and repetitive and stereotyped behaviors. Existing intervention methods have limitations, such as requiring long treatment periods and needing to be more convenient to implement. Extended Reality (XR) technology offers a virtual environment to enhance children's social, communication, and self-regulation skills. This paper compares XR theoretical models, application examples, and intervention effects. The study reveals that XR intervention therapy is mainly based on cognitive rehabilitation, teaching, and social-emotional learning theories. It utilizes algorithms, models, artificial intelligence (AI), eye-tracking, and other technologies for interaction, achieving diverse intervention outcomes. Participants showed effective improvement in competency barriers using XR-based multimodal interactive platforms. However, Mixed Reality (MR) technology still requires further development. Future research should explore multimsodal interaction technologies combining XR and AI, optimize models, prioritize the development of MR intervention scenarios, and sustain an optimal intervention level.</t>
  </si>
  <si>
    <t>[Zhao, Weijia] Anhui Med Univ, Clin Med Coll 1, Hefei 230032, Peoples R China; [Xu, Song] Anhui Med Univ, Sch Biomed Engn, Hefei 230032, Peoples R China; [Zhang, Yanan; Zhu, Chunyan; Wang, Kai] Anhui Med Univ, Sch Mental Hlth &amp; Psychol Sci, Hefei 230032, Peoples R China; [Li, Dandan; Zhu, Chunyan] Anhui Med Univ, Res Ctr Translat Med, Hosp 2, Hefei 230000, Peoples R China; [Wang, Kai] Anhui Med Univ, Dept Neurol, Affiliated Hosp 1, Hefei 230032, Peoples R China; [Wang, Kai] Collaborat Innovat Ctr Neuropsychiat Disorders &amp; M, Hefei 230032, Peoples R China; [Zhu, Chunyan; Wang, Kai] Inst Artificial Intelligence, Hefei Comprehens Natl Sci Ctr, Hefei 230088, Peoples R China; [Wang, Kai] Anhui Prov Key Lab Cognit &amp; Neuropsychiat Disorder, Hefei 230032, Peoples R China</t>
  </si>
  <si>
    <t>Anhui Medical University; Anhui Medical University; Anhui Medical University; Anhui Medical University; Anhui Medical University</t>
  </si>
  <si>
    <t>Li, DD (corresponding author), Anhui Med Univ, Res Ctr Translat Med, Hosp 2, Hefei 230000, Peoples R China.</t>
  </si>
  <si>
    <t>lidandan050295@163.com</t>
  </si>
  <si>
    <t>hu, panpan/ABD-5695-2021</t>
  </si>
  <si>
    <t>, zhao wei jia/0009-0004-4098-5761</t>
  </si>
  <si>
    <t>National Natural Science Foundation of China [82301735]; University Synergy Innovation Program of Anhui Province [GXXT-2021-003]; Basic and Clinical Collaborative Research Enhancement Programme of Anhui Medical University [2022xkjT016]</t>
  </si>
  <si>
    <t>National Natural Science Foundation of China(National Natural Science Foundation of China (NSFC)); University Synergy Innovation Program of Anhui Province; Basic and Clinical Collaborative Research Enhancement Programme of Anhui Medical University</t>
  </si>
  <si>
    <t>We would like to acknowledge Quan Zhou for helpful comments in establishing the research topic. This review was supported by grants from the National Natural Science Foundation of China (82301735), The University Synergy Innovation Program of Anhui Province (GXXT-2021-003), and The Basic and Clinical Collaborative Research Enhancement Programme of Anhui Medical University (2022xkjT016).</t>
  </si>
  <si>
    <t>1673-7067</t>
  </si>
  <si>
    <t>1995-8218</t>
  </si>
  <si>
    <t>NEUROSCI BULL</t>
  </si>
  <si>
    <t>Neurosci. Bull.</t>
  </si>
  <si>
    <t>10.1007/s12264-024-01190-6</t>
  </si>
  <si>
    <t>A9R7C</t>
  </si>
  <si>
    <t>WOS:001186995900002</t>
  </si>
  <si>
    <t>Liu, LL; Yao, XY; Chen, JY; Zhang, K; Liu, LY; Wang, GS; Ling, YT</t>
  </si>
  <si>
    <t>Liu, Lili; Yao, Xinyu; Chen, Jingying; Zhang, Kun; Liu, Leyuan; Wang, Guangshuai; Ling, Yutao</t>
  </si>
  <si>
    <t>Virtual Reality Utilized for Safety Skills Training for Autistic Individuals: A Review</t>
  </si>
  <si>
    <t>virtual reality; autism spectrum disorder; safety skills; skills training</t>
  </si>
  <si>
    <t>HEAD-MOUNTED DISPLAYS; SPECTRUM DISORDER; YOUNG-ADULTS; CHILDREN; ENVIRONMENT; INJURY</t>
  </si>
  <si>
    <t>In recent years, virtual reality technology, which is able to simulate real-life environments, has been widely used in the field of intervention for individuals with autism and has demonstrated distinct advantages. This review aimed to evaluate the impact of virtual reality technology on safety skills intervention for individuals with autism. After searching and screening three databases, a total of 20 pertinent articles were included. There were six articles dedicated to the VR training of street-crossing skills for individuals with autism, nine articles focusing on the training of driving skills for individuals with ASD, and three studies examining the training of bus riding for individuals with ASD. Furthermore, there were two studies on the training of air travel skills for individuals with ASD. First, we found that training in some complex skills (e.g., driving skills) should be selected for older, high-functioning individuals with ASD, to determine their capacity to participate in the training using scales or questionnaires before the intervention; VR devices with higher levels of immersion are not suitable for younger individuals with ASD. Second, VR is effective in training safety skills for ASD, but there is not enough evidence to determine the relationship between the level of VR immersion and intervention effects. Although the degree of virtual reality involvement has an impact on the ability of ASD to be generalized to the real world, it is important to ensure that future virtual reality settings are realistic and lifelike. Again, adaptive models that provide personalized training to individuals with ASD in VR environments are very promising, and future research should continue in this direction. This paper also discusses the limitations of these studies, as well as potential future research directions.</t>
  </si>
  <si>
    <t>[Liu, Lili; Chen, Jingying; Zhang, Kun; Liu, Leyuan; Wang, Guangshuai] Cent China Normal Univ, Natl Engn Res Ctr Educ Big Data, Wuhan 430079, Peoples R China; [Liu, Lili; Chen, Jingying; Zhang, Kun; Liu, Leyuan; Wang, Guangshuai] Cent China Normal Univ, Natl Engn Res Ctr E Learning, Wuhan 430079, Peoples R China; [Liu, Lili; Yao, Xinyu; Chen, Jingying; Zhang, Kun; Liu, Leyuan; Wang, Guangshuai] Cent China Normal Univ, Fac Artificial Intelligence Educ, Wuhan 430079, Peoples R China; [Ling, Yutao] Cent China Normal Univ, Coll Phys Sci &amp; Technol, Wuhan 430079, Peoples R China</t>
  </si>
  <si>
    <t>Central China Normal University; Central China Normal University; Central China Normal University; Central China Normal University</t>
  </si>
  <si>
    <t>Wang, GS (corresponding author), Cent China Normal Univ, Natl Engn Res Ctr Educ Big Data, Wuhan 430079, Peoples R China.;Wang, GS (corresponding author), Cent China Normal Univ, Natl Engn Res Ctr E Learning, Wuhan 430079, Peoples R China.;Wang, GS (corresponding author), Cent China Normal Univ, Fac Artificial Intelligence Educ, Wuhan 430079, Peoples R China.;Ling, YT (corresponding author), Cent China Normal Univ, Coll Phys Sci &amp; Technol, Wuhan 430079, Peoples R China.</t>
  </si>
  <si>
    <t>liulili@mail.ccnu.edu.cn; yaoxinyu031962@mails.ccnu.edu.cn; chenjy@mail.ccnu.edu.cn; zhk@mail.ccnu.edu.cn; lyliu@mail.ccnu.edu.cn; wangguang_shuai@mail.ccnu.edu.cn; yutaoling@mail.ccnu.edu.cn</t>
  </si>
  <si>
    <t>WANG, Guangshuai/AFP-8320-2022; yao, xinyu/KIL-2649-2024; Zhang, Kun/MAI-5353-2025; Chen, Jingying/MAI-5362-2025</t>
  </si>
  <si>
    <t>Zhang, Kun/0000-0003-3920-3705; Wang, Guangshuai/0000-0003-1022-3227</t>
  </si>
  <si>
    <t>Humanities and Social Sciences Research Planning Fund Project of the Ministry of Education</t>
  </si>
  <si>
    <t>10.3390/bs14020082</t>
  </si>
  <si>
    <t>IS2I6</t>
  </si>
  <si>
    <t>WOS:001168251700001</t>
  </si>
  <si>
    <t>Kim, SI; Jang, SY; Kim, T; Kim, B; Jeong, D; Noh, T; Jeong, M; Hall, K; Kim, M; Yoo, HJ; Han, K; Hong, H; Kim, JG</t>
  </si>
  <si>
    <t>Kim, Sung -In; Jang, So-youn; Kim, Taewan; Kim, Bogoan; Jeong, Dayoung; Noh, Taehyung; Jeong, Mingon; Hall, Kaely; Kim, Meelim; Yoo, Hee Jeong; Han, Kyungsik; Hong, Hwajung; Kim, Jennifer G.</t>
  </si>
  <si>
    <t>Promoting Self-Efficacy of Individuals With Autism in Practicing Social Skills in the Workplace Using Virtual Reality and Physiological Sensors: Mixed Methods Study</t>
  </si>
  <si>
    <t>JMIR FORMATIVE RESEARCH</t>
  </si>
  <si>
    <t>autism; virtual reality; workplace; self-efficacy; social skills; data reflection</t>
  </si>
  <si>
    <t>SPECTRUM DISORDERS; ADULTS; CHALLENGES; EMPLOYMENT; ANXIETY</t>
  </si>
  <si>
    <t>Background: Individuals with autism often experience heightened anxiety in workplace environments because of challenges in communication and sensory overload. As these experiences can result in negative self-image, promoting their self-efficacy in the workplace is crucial. Virtual reality (VR) systems have emerged as promising tools for enhancing the self-efficacy of individuals with autism in navigating social scenarios, aiding in the identification of anxiety-inducing situations, and preparing for real-world interactions. However, there is limited research exploring the potential of VR to enhance self-efficacy by facilitating an understanding of emotional and physiological states during social skills practice. Objective: This study aims to develop and evaluate a VR system that enabled users to experience simulated work-related social scenarios and reflect on their behavioral and physiological data through data visualizations. We intended to investigate how these data, combined with the simulations, can support individuals with autism in building their self-efficacy in social skills. Methods: We developed WorkplaceVR, a comprehensive VR system designed for engagement in simulated work-related social scenarios, supplemented with data-driven reflections of users' behavioral and physiological responses. A within-subject deployment study was subsequently conducted with 14 young adults with autism to examine WorkplaceVR's feasibility. A mixed methods approach was used, compassing pre-and postsystem use assessments of participants' self-efficacy perceptions. Results: The study results revealed WorkplaceVR's effectiveness in enhancing social skills and self-efficacy among individuals with autism. First, participants exhibited a statistically significant increase in perceived self-efficacy following their engagement with the VR system (P=.02). Second, thematic analysis of the interview data confirmed that the VR system and reflections on the data fostered increased self-awareness among participants about social situations that trigger their anxiety, as well as the behaviors they exhibit during anxious moments. This increased self-awareness prompted the participants to recollect their related experiences in the real world and articulate anxiety management strategies. Furthermore, the insights uncovered motivated participants to engage in self-advocacy, as they wanted to share the insights with others. Conclusions: This study highlights the potential of VR simulations enriched with physiological and behavioral sensing as a valuable tool for augmenting self-efficacy in workplace social interactions for individuals with autism. Data reflection facilitated by physiological sensors helped participants with autism become more self-aware of their emotions and behaviors, advocate for their characteristics, and develop positive self-beliefs.</t>
  </si>
  <si>
    <t>[Kim, Sung -In] Seoul Natl Univ, Dept Psychiat, Bundang Hosp, Bundang, South Korea; [Jang, So-youn; Kim, Jennifer G.] Georgia Inst Technol, Atlanta, GA USA; [Kim, Taewan; Hong, Hwajung] Korea Adv Inst Sci &amp; Technol, Dept Ind Design, Daejeon, South Korea; [Kim, Bogoan; Han, Kyungsik] Hanyang Univ, Dept Data Sci, Seoul, South Korea; [Jeong, Dayoung; Noh, Taehyung; Jeong, Mingon; Han, Kyungsik] Hanyang Univ, Dept Artificial Intelligence, Seoul, South Korea; [Hall, Kaely] Georgia Inst Technol, Sch Interact Comp, Atlanta, GA USA; [Kim, Meelim] Yonsei Univ, Coll Med, Dept Prevent Med, Seoul, South Korea; [Kim, Meelim] Univ Calif San Diego, Herbert Wertheim Sch Publ Hlth &amp; Human Longev Sci, San Diego, CA USA; [Kim, Meelim] Univ Calif San Diego, Design Lab, San Diego, CA USA; [Kim, Meelim] Univ Calif San Diego, Calit2s, Ctr Wireless &amp; Populat Hlth Syst, Qualcomm Inst, San Diego, CA USA; [Yoo, Hee Jeong] Seoul Natl Univ, Bundang Hosp, Dept Psychiat, Seongnam, South Korea; [Yoo, Hee Jeong] Seoul Natl Univ, Coll Med, Dept Psychiat, Seoul, South Korea; [Kim, Jennifer G.] Georgia Inst Technol, 225 North Ave, Atlanta, GA 30332 USA</t>
  </si>
  <si>
    <t>Seoul National University (SNU); Seoul National University Hospital; University System of Georgia; Georgia Institute of Technology; Korea Advanced Institute of Science &amp; Technology (KAIST); Hanyang University; Hanyang University; University System of Georgia; Georgia Institute of Technology; Yonsei University; Yonsei University Health System; University of California System; University of California San Diego; University of California System; University of California San Diego; University of California System; University of California San Diego; Seoul National University (SNU); Seoul National University (SNU); University System of Georgia; Georgia Institute of Technology</t>
  </si>
  <si>
    <t>Kim, JG (corresponding author), Georgia Inst Technol, 225 North Ave, Atlanta, GA 30332 USA.</t>
  </si>
  <si>
    <t>jennifer.kim@cc.gatech.edu</t>
  </si>
  <si>
    <t>Han, Kyungsik/D-3010-2017; kim, taewan/AAM-6887-2020; Yoo, Hee/J-5555-2012</t>
  </si>
  <si>
    <t>Jeong, Dayoung/0000-0002-8347-4986; Kim, Sung-In/0000-0001-7627-2756; Kim, Bogoan/0000-0002-9083-1128; Noh, Taehyung/0000-0002-1449-510X; hall, kaely/0000-0003-1266-8908; Kim, Meelim/0000-0002-0507-1727; /0000-0003-2324-5337; Kim, Taewan/0000-0001-8578-5342; Jeong, Mingon/0000-0002-8076-2755</t>
  </si>
  <si>
    <t>2561-326X</t>
  </si>
  <si>
    <t>JMIR FORM RES</t>
  </si>
  <si>
    <t>JMIR Form. Res.</t>
  </si>
  <si>
    <t>e52157</t>
  </si>
  <si>
    <t>10.2196/52157</t>
  </si>
  <si>
    <t>IJ8P7</t>
  </si>
  <si>
    <t>WOS:001166052200002</t>
  </si>
  <si>
    <t>Yazdanian, H; Vakili, A; Soltani, A; Rekhne, ZB; Zareii, S; Zarifian, T</t>
  </si>
  <si>
    <t>Yazdanian, Hassan; Vakili, Amirmohammad; Soltani, Ariana; Bagheri Rekhne, Zohre; Zareii, Sajjad; Zarifian, Talieh</t>
  </si>
  <si>
    <t>Virtual/augmented reality for joint attention skills improvement in autism spectrum disorder: a systematic review</t>
  </si>
  <si>
    <t>Review; Early Access</t>
  </si>
  <si>
    <t>augmented reality; ASD; JA; joint attention; virtual reality</t>
  </si>
  <si>
    <t>VIRTUAL-REALITY; YOUNG-CHILDREN; SOCIAL COMMUNICATION; LANGUAGE; INTERVENTION; IMITATION; TODDLERS; PLAY; TOOL; TECHNOLOGY</t>
  </si>
  <si>
    <t>Deficits in joint attention (JA) are among the earliest hallmarks of autism spectrum disorder (ASD) and are targeted in early intervention programs. Virtual reality (VR) and augmented reality (AR) are emerging technologies that have attracted the interest of scientists conducting research in the ASD field in recent years. Despite the critical role of JA skills in the development of social-communication skills, only a few studies have targeted these skills using VR/AR-based interventions for individuals with autism. This systematic literature review is the first to present the state of the art in clinical applications of VR/AR-based interventions for improving JA skills in individuals with ASD. Seven peer-reviewed articles were analyzed to clarify the experimental effect of VR/AR applications on JA skills and, consequently, on social-communications skills. According to the analysis, positive results have been reported in all but one study. However, it was revealed that there was no consensus on the JA measures employed in the studies, making it difficult to compare results and draw definite conclusions about the clinical benefits of VR/AR. Due to the importance of JA, it is highly recommended that further clinical trials be conducted on the use of VR/AR-based interventions to enrich the literature on this subject.</t>
  </si>
  <si>
    <t>[Yazdanian, Hassan] KN Toosi Univ Technol, Dept Biomed Engn, Tehran, Iran; [Yazdanian, Hassan; Vakili, Amirmohammad; Soltani, Ariana; Zareii, Sajjad] Tosee Darman Sarv Inc, Tehran, Iran; [Bagheri Rekhne, Zohre; Zarifian, Talieh] Univ Social Welf &amp; Rehabil Sci, Pediat Neurorehabil Res Ctr, Dept Speech Therapy, Tehran, Iran</t>
  </si>
  <si>
    <t>K. N. Toosi University of Technology</t>
  </si>
  <si>
    <t>Zarifian, T (corresponding author), Univ Social Welf &amp; Rehabil Sci, Pediat Neurorehabil Res Ctr, Dept Speech Therapy, Tehran, Iran.</t>
  </si>
  <si>
    <t>ta.zarifian@uswr.ac.ir</t>
  </si>
  <si>
    <t>Yazdanian, Hassan/IQW-6416-2023; Zarifian, Talieh/AAS-7484-2020</t>
  </si>
  <si>
    <t>Zarifian, Talieh/0000-0002-6067-829X; Vakili, Amir Mohammad/0009-0001-7963-9047; Bagheri Rekhne, Zohre/0009-0000-1488-4159; Yazdanian, Hassan/0000-0002-6372-348X</t>
  </si>
  <si>
    <t>2023 OCT 28</t>
  </si>
  <si>
    <t>10.1080/20473869.2023.2277604</t>
  </si>
  <si>
    <t>OCT 2023</t>
  </si>
  <si>
    <t>AE7O0</t>
  </si>
  <si>
    <t>WOS:001116854400001</t>
  </si>
  <si>
    <t>Alvarado, Y; Guerrero, R; Serón, F</t>
  </si>
  <si>
    <t>Alvarado, Yoselie; Guerrero, Roberto; Seron, Francisco</t>
  </si>
  <si>
    <t>Inclusive Learning through Immersive Virtual Reality and Semantic Embodied Conversational Agent: A case study in children with autism</t>
  </si>
  <si>
    <t>JOURNAL OF COMPUTER SCIENCE &amp; TECHNOLOGY</t>
  </si>
  <si>
    <t>Immersive Virtual Reality; Assistive Technologies; Inclusive Education; Autism; Natural Language Processing</t>
  </si>
  <si>
    <t>EDUCATION</t>
  </si>
  <si>
    <t>Sustainable Development Goal 4 from the United Nations 2030 Agenda, focus on ensuring inclusive and equitable quality education and promoting lifelong learning opportunities for all. Inclusive education is a key component of sustainable development goal 4, and assistive technology is a critical factor in achieving it. In this context, this paper introduces the development of an immersive virtual reality system with conversational skills for inclusive learning processes. The idea of this work is to provide an assistive technology to motivate, educate, and train students with disabilities in a more inclusive way. In order to improve the user experience, the system was developed to work in a CAVE-like immersive environment using Natural Language Processing through a Semantic Embodied Conversational Agent. This work highlights that assistive technology can promote educational, psychological, and social benefits for students with disabilities. The use of assistive technology can enable academic engagement and social participation and be transformative from a psychological perspective. A case study was conducted on children with autism, which showed encouraging results of the system as an assistive technology for teaching and learning.</t>
  </si>
  <si>
    <t>[Alvarado, Yoselie; Guerrero, Roberto] Univ Nacl San Luis, Lab Comp Graf, San Luis, Argentina; [Alvarado, Yoselie] Univ Nacl San Luis, Inst Fis Aplicada, CONICET, San Luis, Argentina; [Seron, Francisco] Univ Zaragoza, Inst Invest Ingn Aragon, Grp GIGA, Zaragoza, Spain</t>
  </si>
  <si>
    <t>Universidad Nacional de San Luis; Universidad Nacional de San Luis; Consejo Nacional de Investigaciones Cientificas y Tecnicas (CONICET); University of Zaragoza</t>
  </si>
  <si>
    <t>Alvarado, Y (corresponding author), Univ Nacl San Luis, Lab Comp Graf, San Luis, Argentina.;Alvarado, Y (corresponding author), Univ Nacl San Luis, Inst Fis Aplicada, CONICET, San Luis, Argentina.</t>
  </si>
  <si>
    <t>ymalvarado@unsl.edu.ar; rag@unsl.edu.ar; seron@unizar.es</t>
  </si>
  <si>
    <t>Guerrero, Roberto J./AEO-6967-2022; Seron Arbeloa, Francisco Jose/L-3146-2014</t>
  </si>
  <si>
    <t>Seron Arbeloa, Francisco Jose/0000-0003-1683-4694; Alvarado, Yoselie/0009-0000-7552-2928</t>
  </si>
  <si>
    <t>UNIV NAC LA PLATA, FAC INFORMATICA</t>
  </si>
  <si>
    <t>LA PLATA</t>
  </si>
  <si>
    <t>50 Y 115, 1ER PISO, LA PLATA, 1900, ARGENTINA</t>
  </si>
  <si>
    <t>1666-6046</t>
  </si>
  <si>
    <t>1666-6038</t>
  </si>
  <si>
    <t>J COMPUT SC TECH-ARG</t>
  </si>
  <si>
    <t>J. Comput. Sci. Technol.</t>
  </si>
  <si>
    <t>10.24215/16666038.23.e09</t>
  </si>
  <si>
    <t>X7QD4</t>
  </si>
  <si>
    <t>WOS:001100342200002</t>
  </si>
  <si>
    <t>Plunk, A; Amat, AZ; Tauseef, M; Peters, RA; Sarkar, N</t>
  </si>
  <si>
    <t>Plunk, Abigale; Amat, Ashwaq Zaini; Tauseef, Mahrukh; Peters, Richard Alan; Sarkar, Nilanjan</t>
  </si>
  <si>
    <t>Semi-Supervised Behavior Labeling Using Multimodal Data during Virtual Teamwork-Based Collaborative Activities</t>
  </si>
  <si>
    <t>human-behavior sensing; emotion recognition; human-machine interaction; automated labeling; semi-supervised machine learning</t>
  </si>
  <si>
    <t>AUTISM SPECTRUM DISORDER; CHILDREN; INTERVENTION; SKILLS</t>
  </si>
  <si>
    <t>Adaptive human-computer systems require the recognition of human behavior states to provide real-time feedback to scaffold skill learning. These systems are being researched extensively for intervention and training in individuals with autism spectrum disorder (ASD). Autistic individuals are prone to social communication and behavioral differences that contribute to their high rate of unemployment. Teamwork training, which is beneficial for all people, can be a pivotal step in securing employment for these individuals. To broaden the reach of the training, virtual reality is a good option. However, adaptive virtual reality systems require real-time detection of behavior. Manual labeling of data is time-consuming and resource-intensive, making automated data annotation essential. In this paper, we propose a semi-supervised machine learning method to supplement manual data labeling of multimodal data in a collaborative virtual environment (CVE) used to train teamwork skills. With as little as 2.5% of the data manually labeled, the proposed semi-supervised learning model predicted labels for the remaining unlabeled data with an average accuracy of 81.3%, validating the use of semi-supervised learning to predict human behavior.</t>
  </si>
  <si>
    <t>[Plunk, Abigale; Amat, Ashwaq Zaini; Tauseef, Mahrukh; Peters, Richard Alan; Sarkar, Nilanjan] Vanderbilt Univ, Dept Elect &amp; Comp Engn, Nashville, TN 37240 USA; [Sarkar, Nilanjan] Vanderbilt Univ, Dept Mech Engn, Nashville, TN 37240 USA</t>
  </si>
  <si>
    <t>Plunk, A (corresponding author), Vanderbilt Univ, Dept Elect &amp; Comp Engn, Nashville, TN 37240 USA.</t>
  </si>
  <si>
    <t>abigale.l.plunk@vanderbilt.edu</t>
  </si>
  <si>
    <t>Tauseef, Mahrukh/0000-0001-8703-0402; Plunk, Abigale/0000-0003-2373-9337</t>
  </si>
  <si>
    <t>NSF [1936970, 2033413]; NSF NRT [DGE 19-22697]</t>
  </si>
  <si>
    <t>NSF(National Science Foundation (NSF)); NSF NRT(National Science Foundation (NSF)NSF - Office of the Director (OD))</t>
  </si>
  <si>
    <t>This work was funded by NSF grants 1936970 and 2033413 as well as NSF NRT grant DGE 19-22697 (K. Stassun, PI).</t>
  </si>
  <si>
    <t>10.3390/s23073524</t>
  </si>
  <si>
    <t>D7HR0</t>
  </si>
  <si>
    <t>WOS:000970404600001</t>
  </si>
  <si>
    <t>Gabrielli, S; Cristofolini, M; Dianti, M; Alvari, G; Vallefuoco, E; Bentenuto, A; Venuti, P; Ibarra, OM; Salvadori, E</t>
  </si>
  <si>
    <t>Gabrielli, Silvia; Cristofolini, Melanie; Dianti, Marco; Alvari, Gianpaolo; Vallefuoco, Ersilia; Bentenuto, Arianna; Venuti, Paola; Ibarra, Oscar Mayora; Salvadori, Elio</t>
  </si>
  <si>
    <t>Co-Design of a Virtual Reality Multiplayer Adventure Game for Adolescents With Autism Spectrum Disorder: Mixed Methods Study</t>
  </si>
  <si>
    <t>co-design; virtual reality environments; autism; social skills interventions; multiplayer game design; serious games</t>
  </si>
  <si>
    <t>HIGH-FUNCTIONING AUTISM; SOCIAL-SKILLS; CHILDREN; INTERVENTIONS; ENVIRONMENTS; INDIVIDUALS</t>
  </si>
  <si>
    <t>Background: Virtual reality (VR) adventure games can offer ideal technological solutions for training social skills in adolescents with autism spectrum disorder (ASD), leveraging their support for multisensory and multiplayer interactions over distance, which may lower barriers to training access and increase user motivation. However, the design of VR-based game environments for social skills training is still understudied and deserves the deployment of an inclusive design approach to ensure its acceptability by target users. Objective: We aimed to present the inclusive design process that we had followed to develop the Zentastic VR adventure game to foster social skills training in adolescents with ASD and to investigate its feasibility as a training environment for adolescents.Methods: The VR game supports multiplayer training sessions involving small groups of adolescents and their therapists, who act as facilitators. Adolescents with ASD and their therapists were involved in the design and in an explorative acceptability study of an initial prototype of the gaming environment, as well as in a later feasibility multisession evaluation of the VR game final release. Results: The feasibility study demonstrated good acceptability of the VR game by adolescents and an enhancement of their social skills from baseline to posttraining.Conclusions: The findings provide preliminary evidence of the benefits that VR-based games can bring to the training of adolescents with ASD and, potentially, other neurodevelopmental disorders.</t>
  </si>
  <si>
    <t>[Gabrielli, Silvia; Dianti, Marco; Ibarra, Oscar Mayora] Fdn Bruno Kessler, Digital Hlth Res, Via Sommar 18, I-38123 Trento, Italy; [Cristofolini, Melanie; Alvari, Gianpaolo; Vallefuoco, Ersilia; Bentenuto, Arianna; Venuti, Paola] Univ Trento, Dept Psychol &amp; Cognit Sci, ODFLab Observat Diag &amp; Educ Lab, Trento, Italy; [Cristofolini, Melanie; Dianti, Marco; Salvadori, Elio] Meeva Srl, Trento, Italy; [Bentenuto, Arianna] Cooperat Socio Sanit Albero Blu, Trento, Italy</t>
  </si>
  <si>
    <t>Fondazione Bruno Kessler; University of Trento</t>
  </si>
  <si>
    <t>Gabrielli, S (corresponding author), Fdn Bruno Kessler, Digital Hlth Res, Via Sommar 18, I-38123 Trento, Italy.</t>
  </si>
  <si>
    <t>sgabrielli@fbk.eu</t>
  </si>
  <si>
    <t>Vallefuoco, Ersilia/IUO-4368-2023; Gabrielli, Silvia/ADC-9152-2022; Salvadori, Elio/JXX-2569-2024; Venuti, Paola/J-8540-2014</t>
  </si>
  <si>
    <t>Salvadori, Elio/0000-0001-6419-3946; Mayora Ibarra, Oscar/0000-0002-5773-3876; Venuti, Paola/0000-0002-1827-0549; Gabrielli, Silvia/0000-0002-7080-0615; Bentenuto, Arianna/0000-0002-6737-5742; Alvari, Gianpaolo/0000-0002-1813-5320; dianti, marco/0000-0002-1404-1423</t>
  </si>
  <si>
    <t>European Institute of Technology (EIT) Digital [22124 XR4A]</t>
  </si>
  <si>
    <t>European Institute of Technology (EIT) Digital</t>
  </si>
  <si>
    <t>Acknowledgments This research was funded by European Institute of Technology (EIT) Digital (grant 22124 XR4A; extended reality-enabled social skills therapy for adolescents with autism and neurodevelopmental disorders) . The authors wish to thank the therapists and adolescents who participated in this study.</t>
  </si>
  <si>
    <t>e51719</t>
  </si>
  <si>
    <t>10.2196/51719</t>
  </si>
  <si>
    <t>CO9K0</t>
  </si>
  <si>
    <t>WOS:001126303700001</t>
  </si>
  <si>
    <t>Yuen, HK; Spencer, K; Edwards, L; Kirklin, K; Jenkins, GR</t>
  </si>
  <si>
    <t>Yuen, Hon K.; Spencer, Kevin; Edwards, Lauren; Kirklin, Kimberly; Jenkins, Gavin R.</t>
  </si>
  <si>
    <t>A Magic Trick Training Program to Improve Social Skills and Self-Esteem in Adolescents With Autism Spectrum Disorder</t>
  </si>
  <si>
    <t>AMERICAN JOURNAL OF OCCUPATIONAL THERAPY</t>
  </si>
  <si>
    <t>HIGH-FUNCTIONING AUTISM; INTERVENTIONS; YOUTH</t>
  </si>
  <si>
    <t>Importance: Low social competence is one of the most complex and resistant challenges faced by adolescents with autism spectrum disorder (ASD). Occupational therapy practitioners have recognized the potential benefits of using the arts, including training in magic tricks, as a therapeutic medium to improve and enhance clients' psychosocial well-being.Objective: To describe the efficacy of a virtual magic trick training program (MTTP) to enhance social skills and self-esteem in adolescents with ASD.Design: Pragmatic, nonrandomized, wait-list controlled trial with 1-mo follow-up.Setting: Participants' homes.Participants: Seventeen adolescents (ages 9-15 yr) with ASD participated in the MTTP, 9 in the first cohort and 8 in the second (wait-list control) cohort.Intervention: Participants received magic trick training from occupational therapy students in pairs via videoconferencing in 45-min sessions, 3 days/wk, for 3 wk.Outcomes and Measures: Participants completed the Rosenberg Self-Esteem Scale and the Social Skills Improvement System before and after participating in the program.Results: Between-cohort effect sizes (Cohen's d) were 0.58 for social skills and 0.66 for self-esteem, considered moderate effects. Combining the two cohorts revealed significant improvements in social skills and self-esteem, with gains maintained at 1-mo follow-up.Conclusions and Relevance: The results of this study support our hypothesis that adolescents with ASD who participate in the 3-wk virtual MTTP can experience enhanced social skills and self-esteem. What This Article Adds: Learning magic tricks through individual coaching from occupational therapy students in a virtual environment can enhance the social skills and self-esteem of adolescents with ASD.</t>
  </si>
  <si>
    <t>[Yuen, Hon K.] Univ Alabama Birmingham, Sch Hlth Profess, Dept Occupat Therapy, Birmingham, AL 35294 USA; [Spencer, Kevin] Hocus Focus Inc, Lynchburg, VA USA; [Spencer, Kevin] Carlow Univ, Fac, Dept Educ, Pittsburgh, PA USA; [Edwards, Lauren; Kirklin, Kimberly] Univ Alabama Birmingham, UAB Inst Arts Med, Alys Stephens Ctr, Birmingham, AL USA; [Jenkins, Gavin R.] Univ Alabama Birmingham, Sch Hlth Profess, Dept Occupat Therapy, Birmingham, AL USA</t>
  </si>
  <si>
    <t>University of Alabama System; University of Alabama Birmingham; University of Alabama System; University of Alabama Birmingham; University of Alabama System; University of Alabama Birmingham</t>
  </si>
  <si>
    <t>Yuen, HK (corresponding author), Univ Alabama Birmingham, Sch Hlth Profess, Dept Occupat Therapy, Birmingham, AL 35294 USA.</t>
  </si>
  <si>
    <t>yuen@uab.edu</t>
  </si>
  <si>
    <t>yuen/AAB-6219-2021</t>
  </si>
  <si>
    <t>Edwards, Lauren/0000-0002-8620-0972</t>
  </si>
  <si>
    <t>AMER OCCUPATIONAL THERAPY ASSOC, INC</t>
  </si>
  <si>
    <t>BETHESDA</t>
  </si>
  <si>
    <t>4720 MONTGOMERY LANE, BETHESDA, MD 20814-3425 USA</t>
  </si>
  <si>
    <t>0272-9490</t>
  </si>
  <si>
    <t>1943-7676</t>
  </si>
  <si>
    <t>AM J OCCUP THER</t>
  </si>
  <si>
    <t>Am. J. Occup. Ther.</t>
  </si>
  <si>
    <t>JAN-FEB</t>
  </si>
  <si>
    <t>10.5014/ajot.2023.049492</t>
  </si>
  <si>
    <t>9T6QP</t>
  </si>
  <si>
    <t>WOS:000947150500006</t>
  </si>
  <si>
    <t>Designing and deploying a virtual social sandbox for autistic children</t>
  </si>
  <si>
    <t>Autism spectrum disorder; collaborative virtual reality; social skills training; naturalistic intervention; virtual world</t>
  </si>
  <si>
    <t>SPECTRUM DISORDER; YOUNG-CHILDREN; TOKEN-ECONOMY; REALITY; INTERVENTION; SKILLS; BEHAVIOR; ADOLESCENTS; STUDENTS; PROGRAM</t>
  </si>
  <si>
    <t>PurposeThis exploratory study was intended to investigate the design and feasibility of using a web virtual reality based social learning space for autistic children at home.Materials and methodsThe researchers of the current study developed and implemented an open-source, web virtual reality based learning program for children with autism. Endorsing mixed-method convergent parallel design, we collected both qualitative and quantitative data from four autistic children, including repeated measures of social skills performance, self- and parent-reported social and communication competence, observation notes, and individual interviews.ResultsThe study found preliminary evidence for a positive impact of deploying a virtual reality-based social sandbox on the practice and development of complex social skills for autistic children. All participants showed significant reduced social communication impairments from the pre- to the post-intervention phases. Nevertheless, participants' social skills performance in the virtual world was mediated by two social task design features-external goal structure and individualization.ConclusionsPlay- and design-oriented social tasks in the three-dimensional virtual world framed meaningful social experiences or the naturalistic intervention for social skills development.</t>
  </si>
  <si>
    <t>[Ke, Fengfeng] Florida State Univ, Dept Educ Psychol &amp; Learning Syst, Tallahassee, FL USA; [Moon, Jewoong] Univ Alabama, Dept Educ Leadership Policy &amp; Technol Studies, Tuscaloosa, AL USA; [Sokolikj, Zlatko] Florida State Univ, Dept Sci Comp, Tallahassee, FL USA; [Ke, Fengfeng] Florida State Univ, Dept Educ Psychol &amp; Learning Syst, 3205 F Stone Bldg, Tallahassee, FL 32306 USA</t>
  </si>
  <si>
    <t>State University System of Florida; Florida State University; University of Alabama System; University of Alabama Tuscaloosa; State University System of Florida; Florida State University; State University System of Florida; Florida State University</t>
  </si>
  <si>
    <t>Ke, FF (corresponding author), Florida State Univ, Dept Educ Psychol &amp; Learning Syst, 3205 F Stone Bldg, Tallahassee, FL 32306 USA.</t>
  </si>
  <si>
    <t>Spencer Foundation; [201400178]</t>
  </si>
  <si>
    <t>Spencer Foundation;</t>
  </si>
  <si>
    <t>This work was supported by the Spencer Foundation under [Grant #201400178].</t>
  </si>
  <si>
    <t>MAY 18</t>
  </si>
  <si>
    <t>10.1080/17483107.2022.2156630</t>
  </si>
  <si>
    <t>DEC 2022</t>
  </si>
  <si>
    <t>TG4J5</t>
  </si>
  <si>
    <t>WOS:000898580500001</t>
  </si>
  <si>
    <t>Savickaite, S; McNaughton, K; Gaillard, E; Amaya, J; McDonnell, N; Millington, E; Simmons, DR</t>
  </si>
  <si>
    <t>Savickaite, Sarune; McNaughton, Kimberley; Gaillard, Elisa; Amaya, Jo; McDonnell, Neil; Millington, Elliot; Simmons, David R.</t>
  </si>
  <si>
    <t>Exploratory study on the use of HMD virtual reality to investigate individual differences in visual processing styles</t>
  </si>
  <si>
    <t>Virtual reality; Individual differences; Autism; ADHD; Rey-Osterrieth complex figure</t>
  </si>
  <si>
    <t>OSTERRIETH COMPLEX FIGURE; AUTISM-SPECTRUM QUOTIENT; DEFICIT HYPERACTIVITY DISORDER; REPORT SCALE ASRS; EXECUTIVE FUNCTION; PSYCHOMETRIC PROPERTIES; VISUOSPATIAL ANALYSIS; DEVELOPMENTAL-TRENDS; SENSORY SENSITIVITY; FUNCTIONING AUTISM</t>
  </si>
  <si>
    <t>Purpose Global and local processing is part of human perceptual organisation, where global processing helps extract the gist of the visual information and local processing helps perceive the details. Individual differences in these two types of visual processing have been found in autism and ADHD (Attention-Deficit Hyperactivity Disorder). Virtual reality (VR) has become a more available method of research in the last few decades. No previous research has investigated perceptual differences using this technology. Design/methodology/approach The objective of the research is to threefold: (1) identify if there is association between ADHD and autistic traits and the performance on the Rey-Osterrieth complex figure (ROCF) task, (2) investigate practical effects of using VR drawing tools for research on perceptual experiences and (3) explore any perceptual differences brought out by the three-dimensional nature of the VR. The standard ROCF test was used as a baseline task to investigate the practical utility of using VR as an experimental platform. A total of 94 participants were tested. Findings Attention-to-detail, attention switching and imagination subscales of autism quotient (AQ) questionnaire were found to be predictors of organisational ROCF scores, whereas only the attention-to-detail subscale was predictive of perceptual ROCF scores. Originality/value The current study is an example of how classic psychological paradigms can be transferred into the virtual world. Further investigation of the distinct individual preferences in drawing tasks in VR could lead to a better understanding of individual differences in the processing of visuospatial information.</t>
  </si>
  <si>
    <t>[Savickaite, Sarune; McNaughton, Kimberley; Gaillard, Elisa; Amaya, Jo; McDonnell, Neil; Millington, Elliot; Simmons, David R.] Univ Glasgow, Sch Psychol, Glasgow, Lanark, Scotland</t>
  </si>
  <si>
    <t>University of Glasgow</t>
  </si>
  <si>
    <t>Savickaite, S (corresponding author), Univ Glasgow, Sch Psychol, Glasgow, Lanark, Scotland.</t>
  </si>
  <si>
    <t>sarune.savickaite@glasgow.ac.uk</t>
  </si>
  <si>
    <t>Savickaite, Sarune/AFF-7970-2022; Simmons, David/A-4916-2012; Millington, Elliot/AAQ-5926-2021</t>
  </si>
  <si>
    <t>Simmons, David/0000-0001-8278-2816; Savickaite, Sarune/0000-0001-5089-8371</t>
  </si>
  <si>
    <t>Economic and Social Research Council (ESRC) of the United Kingdom; ESRC [2451173] Funding Source: UKRI</t>
  </si>
  <si>
    <t>Economic and Social Research Council (ESRC) of the United Kingdom(UK Research &amp; Innovation (UKRI)Economic &amp; Social Research Council (ESRC)); ESRC(UK Research &amp; Innovation (UKRI)Economic &amp; Social Research Council (ESRC))</t>
  </si>
  <si>
    <t>This work is supported by a collaborative studentship from the Economic and Social Research Council (ESRC) of the United Kingdom, in collaboration with Sublime Digital Ltd. The authors have no conflicts of interest to declare that are relevant to the content of this article.</t>
  </si>
  <si>
    <t>MAR 2</t>
  </si>
  <si>
    <t>10.1108/JET-06-2021-0028</t>
  </si>
  <si>
    <t>ZO5PI</t>
  </si>
  <si>
    <t>WOS:000765776600004</t>
  </si>
  <si>
    <t>Hesp, C; Steenbeek, HW; van Geert, PLC</t>
  </si>
  <si>
    <t>Hesp, Casper; Steenbeek, Henderien W.; van Geert, Paul L. C.</t>
  </si>
  <si>
    <t>Socio-Emotional Concern Dynamics in a Model of Real-Time Dyadic Interaction: Parent-Child Play in Autism</t>
  </si>
  <si>
    <t>autism; dyadic play; social skills; play initiation; child-parent; dynamical model; complexity</t>
  </si>
  <si>
    <t>YOUNG-CHILDREN; SYSTEMS MODEL; ATTENTION; PATTERNS; EMOTION; FUTURE; RISK</t>
  </si>
  <si>
    <t>We used a validated agent-based model-Socio-Emotional CONcern DynamicS (SECONDS)-to model real-time playful interaction between a child diagnosed with Autism Spectrum Disorders (ASD) and its parent. SECONDS provides a real-time (second-by-second) virtual environment that could be used for clinical trials and testing process-oriented explanations of ASD symptomatology. We conducted numerical experiments with SECONDS (1) for internal model validation comparing two parental behavioral strategies for stimulating social development in ASD (play-centered vs. initiative-centered) and (2) for empirical case-based model validation. We compared 2,000 simulated play sessions of two particular dyads with (second-by-second) time-series observations within 29 play sessions of a real parent-child dyad with ASD on six variables related to maintaining and initiating play. Overall, both simulated dyads provided a better fit to the observed dyad than reference null distributions. Given the idiosyncratic behaviors expected in ASD, the observed correspondence is non-trivial. Our results demonstrate the applicability of SECONDS to parent-child dyads in ASD. In the future, SECONDS could help design interventions for parental care in ASD.</t>
  </si>
  <si>
    <t>[Hesp, Casper; Steenbeek, Henderien W.; van Geert, Paul L. C.] Univ Groningen, Dept Dev Psychol, Groningen, Netherlands; [Hesp, Casper] Univ Amsterdam, Amsterdam Brain &amp; Cognit, Amsterdam, Netherlands; [Hesp, Casper] Univ Amsterdam, Dept Psychol, Amsterdam, Netherlands</t>
  </si>
  <si>
    <t>University of Groningen; University of Amsterdam; University of Amsterdam</t>
  </si>
  <si>
    <t>Hesp, C (corresponding author), Univ Groningen, Dept Dev Psychol, Groningen, Netherlands.;Hesp, C (corresponding author), Univ Amsterdam, Amsterdam Brain &amp; Cognit, Amsterdam, Netherlands.;Hesp, C (corresponding author), Univ Amsterdam, Dept Psychol, Amsterdam, Netherlands.</t>
  </si>
  <si>
    <t>c.hesp@uva.nl</t>
  </si>
  <si>
    <t>Hesp, Casper/0000-0001-7669-4078; Steenbeek, Henderien/0000-0001-6750-2142</t>
  </si>
  <si>
    <t>NWO [406.18.535]</t>
  </si>
  <si>
    <t>NWO(Netherlands Organization for Scientific Research (NWO))</t>
  </si>
  <si>
    <t>We thank Laura Koch and James Hesp for their help in establishing the inter-observer reliability of the coding system for the dyad observations. We thank Anna Monk and the two referees for their extremely helpful feedback on the manuscript. We thank the Department of Psychology of the University of Groningen for covering the open access publication fees. CH gratefully acknowledges support from the NWO Research Talent grant (no. 406.18.535).</t>
  </si>
  <si>
    <t>JUL 16</t>
  </si>
  <si>
    <t>10.3389/fpsyg.2019.01635</t>
  </si>
  <si>
    <t>IJ3PX</t>
  </si>
  <si>
    <t>WOS:000475817900002</t>
  </si>
  <si>
    <t>Costa, RMEM; de Carvalho, LAV; Drummond, R; Wauke, APT; Guimaraes, MD</t>
  </si>
  <si>
    <t>The UFRJ-UERJ group: Interdisciplinary virtual reality experiments in neuropsychiatry</t>
  </si>
  <si>
    <t>This paper describes the research lines of an interdisciplinary group composed by two government universities in Rio de Janeiro. The first research line, a Virtual Environment for testing the acceptance of Virtual Reality equipment by schizophrenia patients, has stimulated a growing interest in this area in the country and abroad. The second research line, in progress now, develops a virtual environment to improve the learning abilities of children with Attention-Deficit and Hyperactivity Disorder (ADHD). Another study is related to the use of Virtual Reality in the cognitive treatment of common city phobias, beginning with the reproduction of some tunnels of our city to treatment of claustrophobic patients. The last of the research lines in progress in this group develops a virtual square for stimulating autistic patients.</t>
  </si>
  <si>
    <t>Univ Estado, Dept Comp Sci, Rio De Janeiro, Brazil; Univ Fed Rio de Janeiro, COPPE, Program Syst Engn &amp; Comp Sci, BR-21945 Rio De Janeiro, Brazil; Ctr Univ Cidade, Sch Comp Sci, Rio De Janeiro, Brazil</t>
  </si>
  <si>
    <t>Universidade do Estado do Rio de Janeiro; Universidade Federal do Rio de Janeiro</t>
  </si>
  <si>
    <t>de Carvalho, LAV (corresponding author), Univ Fed Rio de Janeiro, COPPE, Programa Eng Sistemas &amp; Comp, Caixa Postal 68511, BR-219419 Rio De Janeiro, Brazil.</t>
  </si>
  <si>
    <t>Esteves Moreira da Costa, Rosa Maria/H-4053-2018</t>
  </si>
  <si>
    <t>Esteves Moreira da Costa, Rosa Maria/0000-0001-6165-1649; Toome Wauke, Ana Paula/0000-0002-9985-9020</t>
  </si>
  <si>
    <t>10.1089/109493102761022841</t>
  </si>
  <si>
    <t>614ZU</t>
  </si>
  <si>
    <t>WOS:000179222000004</t>
  </si>
  <si>
    <t>Yang, YQ; Chen, LBY; He, WM; Sun, DN; Salas-Pilco, SZ</t>
  </si>
  <si>
    <t>Yang, Yuqin; Chen, Linbaiyu; He, Wenmeng; Sun, Daner; Salas-Pilco, Sdenka Zobeida</t>
  </si>
  <si>
    <t>Artificial Intelligence for Enhancing Special Education for K-12: A Decade of Trends, Themes, and Global Insights (2013-2023)</t>
  </si>
  <si>
    <t>INTERNATIONAL JOURNAL OF ARTIFICIAL INTELLIGENCE IN EDUCATION</t>
  </si>
  <si>
    <t>Artificial intelligence (AI); Special education; Special needs students; Bibliometric analysis</t>
  </si>
  <si>
    <t>ASSISTIVE TECHNOLOGIES; LEARNING-DISABILITIES; BIBLIOMETRIC ANALYSIS; AMBIENT INTELLIGENCE; MOBILE TECHNOLOGY; AUGMENTED REALITY; SCHOOL-STUDENTS; CHILDREN; DESIGN; NEEDS</t>
  </si>
  <si>
    <t>This paper provided a review of 210 studies on AI-enhanced special education from 2013 to 2023. Through bibliometric analysis, this review aimed to explore trends, focus areas, developments, and evolving themes of the field of AI for enhancing special education. Several noteworthy findings emerged from our analysis. The trend analysis of publications and citations revealed distinct phases, including an initial exploratory phase (2013-2016) followed by a period of rapid development (2017-2023). keyword co-occurrence networks and emergent word mapping highlight AI's transformative potential, especially in autism spectrum disorder interventions and advancements in learning environments. Emerging trends focus on mathematics learning outcomes and educational equity, evolving through phases of understanding AI's support and integrating advanced tools like virtual reality and educational robots. Topic clustering analysis revealed categories including cognitive rehabilitation and ethical AI integration, emphasizing personalized instructional environments. Implications for research stress the need to bolster foundational skills and explore innovative teaching methods, including addressing challenges in gamified learning and integrating AI seamlessly. The review reveals a need for larger sample sizes and longitudinal studies to enhance statistical robustness and real-world relevance. In educational practices, using AI tools like apps, robots, and simulations can boost engagement and support social and academic progress. Tailored interventions for specific learning difficulties, such as dyslexia and dyscalculia, through intelligent tutoring systems, offer promise for positive learning outcomes. Policymakers are crucial in facilitating technology integration by ensuring comprehensive teacher training, increased funding for tech infrastructure, and strong leadership. Initiatives targeting underserved communities aim to promote equity and access to transformative resources. This study highlights AI's transformative potential in special education, advocating for inclusive and personalized learning environments with ethical Al solutions to address unique challenges faced by special needs students.</t>
  </si>
  <si>
    <t>[Chen, Linbaiyu; Salas-Pilco, Sdenka Zobeida] Cent China Normal Univ, Fac Artificial Intelligence Educ, 152 Luoyu Rd, Wuhan 430079, Hubei, Peoples R China; [He, Wenmeng] Wuhan Univ Technol, Wuhan, Hubei, Peoples R China; [Sun, Daner] Educ Univ Hong Kong, Dept Math &amp; Informat Technol, Hong Kong, Peoples R China; [Yang, Yuqin] Cent China Normal Univ, Fac Artificial Intelligence Educ, Hubei Key Lab Digital Educ, Wuhan, Peoples R China</t>
  </si>
  <si>
    <t>Central China Normal University; Wuhan University of Technology; Education University of Hong Kong (EdUHK); Central China Normal University</t>
  </si>
  <si>
    <t>Salas-Pilco, SZ (corresponding author), Cent China Normal Univ, Fac Artificial Intelligence Educ, 152 Luoyu Rd, Wuhan 430079, Hubei, Peoples R China.;Yang, YQ (corresponding author), Cent China Normal Univ, Fac Artificial Intelligence Educ, Hubei Key Lab Digital Educ, Wuhan, Peoples R China.</t>
  </si>
  <si>
    <t>yangyuqin@ccnu.edu.cn; chenlinbaiyu@mails.ccnu.edu.cn; hwm20041016@whut.edu.cn; dsun@eduhk.hk; sdenkasp@ccnu.edu.cn</t>
  </si>
  <si>
    <t>HE, Wenmeng/AAK-5922-2020; SUN, Daner/AAL-2567-2020; SALAS-PILCO, Sdenka Zobeida/B-6287-2013</t>
  </si>
  <si>
    <t>Sun, Daner/0000-0002-9813-6306; SALAS-PILCO, Sdenka Zobeida/0000-0002-5752-9525</t>
  </si>
  <si>
    <t>National Natural Science Foundation of China</t>
  </si>
  <si>
    <t>National Natural Science Foundation of China(National Natural Science Foundation of China (NSFC))</t>
  </si>
  <si>
    <t>1560-4292</t>
  </si>
  <si>
    <t>1560-4306</t>
  </si>
  <si>
    <t>INT J ARTIF INTELL E</t>
  </si>
  <si>
    <t>Int. J. Artif. Intell. Educ.</t>
  </si>
  <si>
    <t>2024 AUG 19</t>
  </si>
  <si>
    <t>10.1007/s40593-024-00422-0</t>
  </si>
  <si>
    <t>AUG 2024</t>
  </si>
  <si>
    <t>D0V9T</t>
  </si>
  <si>
    <t>WOS:001293460100001</t>
  </si>
  <si>
    <t>Poglitsch, C; Safikhani, S; List, E; Pirker, J</t>
  </si>
  <si>
    <t>Poglitsch, Christian; Safikhani, Saeed; List, Erin; Pirker, Johanna</t>
  </si>
  <si>
    <t>XR technologies to enhance the emotional skills of people with autism spectrum disorder: A systematic review</t>
  </si>
  <si>
    <t>COMPUTERS &amp; GRAPHICS-UK</t>
  </si>
  <si>
    <t>Extended reality (XR); Virtual reality (VR); Augmented reality (AR); Autism spectrum disorder; Emotional skills; Emotion recognition</t>
  </si>
  <si>
    <t>VIRTUAL-REALITY; AUGMENTED REALITY; FACIAL EXPRESSIONS; CHILDREN; MIND; COMMUNICATION; DISPLAYS; ABILITY; DESIGN; ADULTS</t>
  </si>
  <si>
    <t>In this paper, we present a systematic review of the applications of (1) Extended Reality (XR), (2) Augmented Reality (AR), and (3) Virtual Reality (VR) technologies to enhance emotion recognition and emotion expression in people with Autism Spectrum Disorder (ASD). ASD can affect various abilities, and poses challenges to the recognition of emotions in others, which is often referred to as social blindness. Treating this condition typically requires intensive one-on-one or small -group therapy sessions, which can be costly and limited in terms of availability. With the growing number of diagnoses of ASD, concerns have risen regarding a potential lost generationthat may face difficulties in fulfilling its potential. Through this comprehensive review, we aim to provide an overview of innovative approaches that use XR technologies to improve the learning experience of individuals with ASD.</t>
  </si>
  <si>
    <t>[Poglitsch, Christian; Safikhani, Saeed; List, Erin; Pirker, Johanna] Graz Univ Technol, IICM, Rechbauer str 12-I, A-8010 Graz, Austria; [Poglitsch, Christian] Sandgasse 36-III, A-8010 Graz, Austria</t>
  </si>
  <si>
    <t>Graz University of Technology</t>
  </si>
  <si>
    <t>Poglitsch, C (corresponding author), Sandgasse 36-III, A-8010 Graz, Austria.</t>
  </si>
  <si>
    <t>christian.poglitsch@tugraz.at; s.safikhani@tugraz.at; erin.list@tugraz.at; johanna.pirker@tugraz.at</t>
  </si>
  <si>
    <t>safikhani, saeed/AAV-8478-2020</t>
  </si>
  <si>
    <t>Austrian Science Fund (FWF) [I 6465-B]</t>
  </si>
  <si>
    <t>Austrian Science Fund (FWF)(Austrian Science Fund (FWF))</t>
  </si>
  <si>
    <t>This research was funded in whole or in part by the Austrian Science Fund (FWF) [I 6465-B].</t>
  </si>
  <si>
    <t>0097-8493</t>
  </si>
  <si>
    <t>1873-7684</t>
  </si>
  <si>
    <t>COMPUT GRAPH-UK</t>
  </si>
  <si>
    <t>Comput. Graph.-UK</t>
  </si>
  <si>
    <t>10.1016/j.cag.2024.103942</t>
  </si>
  <si>
    <t>MAY 2024</t>
  </si>
  <si>
    <t>UG5B5</t>
  </si>
  <si>
    <t>WOS:001246907400001</t>
  </si>
  <si>
    <t>López-Belmonte, J; Duo-Terrón, P; Moreno-Guerrero, AJ; Marín-Marín, JA</t>
  </si>
  <si>
    <t>Lopez-Belmonte, Jesus; Duo-Terron, Pablo; Moreno-Guerrero, Antonio-Jose; Marin-Marin, Jose-Antonio</t>
  </si>
  <si>
    <t>Effects of augmented and virtual reality on students with ASD</t>
  </si>
  <si>
    <t>PIXEL-BIT- REVISTA DE MEDIOS Y EDUCACION</t>
  </si>
  <si>
    <t>Autism; virtual reality; Aumentaty reality; educational technology; special educational needs</t>
  </si>
  <si>
    <t>The general objective of this research is to verify the impact of an intervention on students with Autism Spectrum Disorder (ASD) from two different perspectives, traditional and innovative with augmented reality (AR) and virtual reality (VR). It is a quantitative research study with a quasi -experimental pretest -posttest design in the same group of subjects. Two types of variables were established, the training action deployed (traditional and AR-VR approach) and the effect caused in various dimensions presented (motivation, attention, communication, autonomy and learning outcomes). The sample consisted of 23 people with ASD, with an average age of 10.52 years. It is concluded that AR and VR are useful for students with ASD, improving motivation and learning results. Comorbidity may affect learning outcomes in traditional approaches, but not in innovative ones. The appropriate and balanced use of AR and VR can maximize the benefits and minimize the possible negative effects on divided and selective attention for students with ASD.</t>
  </si>
  <si>
    <t>[Lopez-Belmonte, Jesus; Moreno-Guerrero, Antonio-Jose; Marin-Marin, Jose-Antonio] Univ Granada, Granada, Spain; [Duo-Terron, Pablo] Univ Int La Rioja, Logrono, Spain</t>
  </si>
  <si>
    <t>University of Granada; Universidad Internacional de La Rioja (UNIR)</t>
  </si>
  <si>
    <t>López-Belmonte, J (corresponding author), Univ Granada, Granada, Spain.</t>
  </si>
  <si>
    <t>jesuslopez@ugr.es; pablo.duo@unir.net; ajmoreno@ugr.es; jmarin@ugr.es</t>
  </si>
  <si>
    <t>Moreno-Guerrero, Antonio-José/P-5859-2018; Marín-Marín, José-Antonio/L-3609-2018</t>
  </si>
  <si>
    <t>UNIV SEVILLA, EDITORIAL</t>
  </si>
  <si>
    <t>SEVILLE</t>
  </si>
  <si>
    <t>SECRETARIADO PUBLICACIONES, C/ PORVENIR, NO 27, SEVILLE, 41013, SPAIN</t>
  </si>
  <si>
    <t>1133-8482</t>
  </si>
  <si>
    <t>2171-7966</t>
  </si>
  <si>
    <t>PIXEL-BIT</t>
  </si>
  <si>
    <t>Pixel-Bit</t>
  </si>
  <si>
    <t>10.12795/pixelbit.103789</t>
  </si>
  <si>
    <t>WA8R7</t>
  </si>
  <si>
    <t>WOS:001252244300002</t>
  </si>
  <si>
    <t>Dwarkadas, AL; Talasila, V; Challa, RK; Srinivasa, KG</t>
  </si>
  <si>
    <t>Dwarkadas, Agrawal Luckykumar; Talasila, Viswanath; Challa, Rama Krishna; Srinivasa, K. G.</t>
  </si>
  <si>
    <t>A review of the application of virtual and augmented reality in physical and occupational therapy</t>
  </si>
  <si>
    <t>SOFTWARE-PRACTICE &amp; EXPERIENCE</t>
  </si>
  <si>
    <t>augmented reality; occupational therapy; physical therapy; virtual reality</t>
  </si>
  <si>
    <t>TRAINING SYSTEM; REHABILITATION; CHILDREN; ENGAGEMENT; CHALLENGE; ABILITY; GAMES</t>
  </si>
  <si>
    <t>This paper includes a research review in five bibliographic databases on using the application of virtual reality (VR) and augmented reality (AR) in physical and occupational therapy (POT). This literature review addresses five research questions and two sub-research questions. A total of 36 relevant studies were selected in the review based on the defined keywords and inclusion-exclusion criteria. The primary motivation for using the application of VR and AR in POT is that it is accurate, involves higher patient participation, and requires less therapy recovery time. The standard software tool used is the Unity 3D game engine, and the common device used is the Oculus Rift HMD. Various applications of VR and AR consist of different VR environments and AR contents used in POT. Post-stroke rehabilitation, rehabilitation exercises, pain management, mental and behavioral disorders, and autism in children are the main aspects addressed through the VR and AR environments. Literature review indicates that questionnaires, interviews, and observation are the primary metrics for measuring therapy's effectiveness. The study's findings show positive results such as reduced treatment time, nervousness, pain, hospitalization period, making therapy enjoyable and encouraging, improved quality of life, and focus on using the application of VR and AR in POT. This review will be relevant to researchers, VR and AR application designers, doctors, and patients using the application of VR and AR in POT. Further research addressing multiple participants with clinical trials, adding new VR environments and AR content in VR and AR applications, including follow-up sessions, and increasing training sessions while using the application of VR and AR in POT are recommended.</t>
  </si>
  <si>
    <t>[Dwarkadas, Agrawal Luckykumar; Challa, Rama Krishna] Natl Inst Tech Teachers Training &amp; Res, Dept Comp Sci &amp; Engn, Chandigarh, India; [Talasila, Viswanath] Ramaiah Inst Technol, Elect &amp; Commun Dept, Bangaluru, India; [Srinivasa, K. G.] Int Inst Informat Technol, Dept Comp Sci &amp; Engn, Chhattisgarh, India</t>
  </si>
  <si>
    <t>National Institute of Technical Teachers Training &amp; Research, Chandigarh; Ramaiah Institute of Technology</t>
  </si>
  <si>
    <t>Dwarkadas, AL (corresponding author), Natl Inst Tech Teachers Training &amp; Res, Dept Comp Sci &amp; Engn, Chandigarh, India.</t>
  </si>
  <si>
    <t>luckykumar.cse21@nitttrchd.ac.in</t>
  </si>
  <si>
    <t>Krishna, C./AAK-1142-2020; KG, Srinivasa/AAF-4943-2021</t>
  </si>
  <si>
    <t>Dwarkadas Agrawal, Luckykumar/0000-0002-0540-283X</t>
  </si>
  <si>
    <t>BIRAC; [BT/AIR/0945/PACE-19/19]</t>
  </si>
  <si>
    <t>BIRAC;</t>
  </si>
  <si>
    <t>The contribution of author 2 (Viswanath Talasila) was partly supported by a BIRAC fund BT/AIR/0945/PACE-19/19.</t>
  </si>
  <si>
    <t>0038-0644</t>
  </si>
  <si>
    <t>1097-024X</t>
  </si>
  <si>
    <t>SOFTWARE PRACT EXPER</t>
  </si>
  <si>
    <t>Softw.-Pract. Exp.</t>
  </si>
  <si>
    <t>10.1002/spe.3323</t>
  </si>
  <si>
    <t>XS3R2</t>
  </si>
  <si>
    <t>WOS:001176432100001</t>
  </si>
  <si>
    <t>Date, S; Munn, E; Frey, GC</t>
  </si>
  <si>
    <t>Date, Surabhi; Munn, Emily; Frey, Georgia C.</t>
  </si>
  <si>
    <t>Postural balance control interventions in autism spectrum disorder (ASD): A systematic review</t>
  </si>
  <si>
    <t>Autism spectrum disorder; ASD; Postural control; Balance interventions; Rehabilitation</t>
  </si>
  <si>
    <t>DEVELOPMENTAL COORDINATION DISORDER; CEREBRAL-PALSY; CHILDREN; HIPPOTHERAPY; MOVEMENT; THERAPY</t>
  </si>
  <si>
    <t>Background: Postural control (PC) disturbances in autism spectrum disorder (ASD) are associated with its severity. Varied sensorimotor interventions have been used for the management of these symptoms. However, there is a lack of a review elucidating all the available postural control interventions in ASD. Research question: To comprehensively present the variety of interventions targeted at improving PC in ASD and to provide future research recommendations. Methods: PubMed, SCOPUS, Embase, Cochrane, ScienceDirect and Web of Science databases were searched for publications examining the effects of PC targeting interventions in those with ASD. Included articles were in English, published after 2000 in the peer-reviewed journals with full text available and used intervention targeted at improving PC or balance with a predefined objective outcome measure for accessing PC or balance. Initial database search yielded 1022 studies and 21 articles were included in this review after screening. Results: We identified diverse PC interventions including animal assisted therapies, karate/martial arts, aquatic exercises, virtual reality-based training, standard and customized exercises, and physical activity programs. The effect of long- and short-term interventions on PC improvement in children and adults with ASD is mixed. Future research should focus on undertaking randomized controlled trials with large sample size and participants with varying severity of ASD to improve generalizability of the study findings. The lack of population-specific, reliable, and validated motor outcome measures including neuro-imaging techniques should be addressed. Significance: While many of the interventions improved PC in those with ASD, the sample size and methodological quality of the studies was highly variable. There are limited studies exploring the long-term effects of the interventions. Rigorous study methods with population-specific objective outcome measures are warranted to draw generalizable conclusions regarding the PC interventions in individuals with ASD.</t>
  </si>
  <si>
    <t>[Date, Surabhi; Frey, Georgia C.] Indiana Univ, Dept Kinesiol, 1025 E 7th St, Bloomington, IN 47405 USA; [Munn, Emily] Univ South Carolina, Dept Phys Educ, 820 Main St, Columbia, SC 29208 USA</t>
  </si>
  <si>
    <t>Indiana University System; Indiana University Bloomington; University of South Carolina System; University of South Carolina Columbia</t>
  </si>
  <si>
    <t>Date, S (corresponding author), Indiana Univ, Dept Kinesiol, 1025 E 7th St, Bloomington, IN 47405 USA.</t>
  </si>
  <si>
    <t>dates@iu.edu</t>
  </si>
  <si>
    <t>Date, Surabhi/MZR-0162-2025; Munn, Emily/AIC-9819-2022</t>
  </si>
  <si>
    <t>10.1016/j.gaitpost.2024.01.034</t>
  </si>
  <si>
    <t>FEB 2024</t>
  </si>
  <si>
    <t>KM5O0</t>
  </si>
  <si>
    <t>WOS:001180398500001</t>
  </si>
  <si>
    <t>Artiran, S; Bedmutha, PS; Cosman, P</t>
  </si>
  <si>
    <t>Artiran, Saygin; Bedmutha, Poorva S.; Cosman, Pamela</t>
  </si>
  <si>
    <t>Analysis of Gaze, Head Orientation, and Joint Attention in Autism With Triadic VR Interviews</t>
  </si>
  <si>
    <t>Autism; job interview practice; machine learning; social modulation of gaze and head orientation; virtual reality</t>
  </si>
  <si>
    <t>SPECTRUM DISORDER; NONVERBAL BEHAVIOR; VIRTUAL-REALITY; INDIVIDUALS; EMPLOYMENT; TRACKING; ADULTS; PERCEPTIONS; MOVEMENT</t>
  </si>
  <si>
    <t>Effective use of gaze and head orientation can strengthen the sense of inclusion in multi-party interactions, including job interviews. Not making significant eye contact with the interlocutors, or not turning towards them, may be interpreted as disinterest, which could worsen job interview outcomes. This study aims to support the situational solo practice of gaze behavior and head orientation using a triadic (three-way) virtual reality (VR) job interview simulation. The system lets users encounter common interview questions and see how they share attention among the interviewers based on their conversational role (speaking or listening). Given the yaw and position readings of the VR headset, we use a machine learning-based approach to analyze head orientations relative to the interviewers in the virtual environment, and achieve low angular error in a low complexity way. We examine the degree to which interviewer backchannels trigger attention shifts or behavioral mirroring and investigate the social modulation of gaze and head orientation for autistic and non-autistic individuals. In both speaking and listening roles, the autistic participants gazed at, and oriented towards the two virtual interviewers less often, and they displayed less behavioral mirroring (mirroring the head turn of one avatar towards another) compared to the non-autistic participants.</t>
  </si>
  <si>
    <t>[Artiran, Saygin; Bedmutha, Poorva S.; Cosman, Pamela] Univ Calif San Diego, Dept Elect &amp; Comp Engn, La Jolla, CA 92093 USA</t>
  </si>
  <si>
    <t>University of California System; University of California San Diego</t>
  </si>
  <si>
    <t>Artiran, S (corresponding author), Univ Calif San Diego, Dept Elect &amp; Comp Engn, La Jolla, CA 92093 USA.</t>
  </si>
  <si>
    <t>sartiran@ucsd.edu; pbedmutha@ucsd.edu; pcosman@ucsd.edu</t>
  </si>
  <si>
    <t>Bedmutha, Poorva Satish/0000-0003-4640-0782; Artiran, Saygin/0000-0003-4620-6074; Cosman, Pamela/0000-0002-4012-0176</t>
  </si>
  <si>
    <t>National Science Foundation</t>
  </si>
  <si>
    <t>10.1109/TNSRE.2024.3363728</t>
  </si>
  <si>
    <t>IG6U8</t>
  </si>
  <si>
    <t>WOS:001165224000004</t>
  </si>
  <si>
    <t>Moon, J</t>
  </si>
  <si>
    <t>Moon, Jewoong</t>
  </si>
  <si>
    <t>Learning experience design of verbal prompts in virtual reality-based training for autistic children</t>
  </si>
  <si>
    <t>autism spectrum disorder; virtual world; social skills; verbal prompts; learning experience design</t>
  </si>
  <si>
    <t>STUDENTS; INTERVENTION; INDIVIDUALS; ADOLESCENTS; STRATEGIES; ADULTS; GAMES</t>
  </si>
  <si>
    <t>This study aimed to explore the design and development of verbal prompts in virtual reality (VR)-based social skills training for autistic children. Autism indicates a category with neurodiversity that influences individuals' capability to engage in social and cognitive tasks. This complex neurodevelopmental condition manifests in a wide array of patterns, featuring unique experiences of each individual. This study explored both advantages and challenges encountered when autistic children interact with verbal prompts in multi-user, desktop VR-based social skills training. Our explanatory case study involved VR-based learning experiences of four autistic children. We used a qualitative thematic analysis to analyse the study participants' interaction patterns with verbal prompts in the VR-based training. Our research can contribute to both theoretical knowledge and practical design guidelines for the creation of verbal prompts in desktop VR-based training programmes tailored for autistic children.</t>
  </si>
  <si>
    <t>[Moon, Jewoong] Univ Alabama, Dept Educ Leadership Policy &amp; Technol Studies, Tuscaloosa, AL 35487 USA</t>
  </si>
  <si>
    <t>University of Alabama System; University of Alabama Tuscaloosa</t>
  </si>
  <si>
    <t>10.25304/rlt.v32.3129</t>
  </si>
  <si>
    <t>QT1F1</t>
  </si>
  <si>
    <t>WOS:001223022100001</t>
  </si>
  <si>
    <t>Toma, MV; Turcu, CE; Turcu, CO; Vlad, S; Tiliute, DE; Pascu, P</t>
  </si>
  <si>
    <t>Toma, Marian-Vladut; Turcu, Cristina Elena; Turcu, Corneliu Octavian; Vlad, Sorin; Tiliute, Doru Eugen; Pascu, Paul</t>
  </si>
  <si>
    <t>Extended Reality-Based Mobile App Solutions for the Therapy of Children With Autism Spectrum Disorders: Systematic Literature Review</t>
  </si>
  <si>
    <t>autism; autistic; autism spectrum disorder; ASD; virtual reality; augmented reality; extended reality; mixed reality; mobile app; children; preschool; mobile phone</t>
  </si>
  <si>
    <t>AUGMENTED REALITY; TECHNOLOGY; STUDENTS; GAMES</t>
  </si>
  <si>
    <t>Background: The increasing prevalence of autism spectrum disorder (ASD) has driven research interest on the therapy of individuals with autism, especially children, as early diagnosis and appropriate treatment can lead to improvement in the condition. With the widespread availability of virtual reality, augmented reality (AR), and mixed reality technologies to the public and the increasing popularity of mobile devices, the interest in the use of applications and technologies to provide support for the therapy of children with autism is growing. Objective: This study aims to describe the literature on the potential of virtual reality, AR, and mixed reality technologies in the context of therapy for children with ASD. We propose to investigate and analyze the temporal distribution of relevant papers, identify the target audience for studies related to extended reality apps in ASD therapy, examine the technologies used in the development of these apps, assess the skills targeted for improvement in primary studies, explore the purposes of the proposed solutions, and summarize the results obtained from their application. Methods: For the systematic literature review, 6 research questions were defined in the first phase, after which 5 international databases (Web of Science, Scopus, ScienceDirect, IEEE Xplore Digital Library, and ACM Digital Library) were searched using specific search strings. Results were centralized, filtered, and processed applying eligibility criteria and using the PRISMA (Preferred Reporting Items for Systematic Reviews and Meta -Analyses) guidelines. The results were refined using a technical and IT-oriented approach. The quality criteria assessed whether the research addressed ASDs, focused on children's therapy, involved targeted technologies, deployed solutions on mobile devices, and produced results relevant to our study. Results: In the first step, 179 publications were identified in Zotero reference manager software (Corporation for Digital Scholarship). After excluding articles that did not meet the eligibility or quality assessment criteria, 28 publications were finalized. The analysis revealed an increase in publications related to apps for children with autism starting in 2015 and peaking in 2019. Most studies (22/28, 79%) focused on mobile AR solutions for Android devices, which were developed using the Unity 3D platform and the Vuforia engine. Although 68% (19/28) of these apps were tested with children, 32% (9/28) were tested exclusively by developers. More than half (15/28, 54%) of the studies used interviews as an evaluation method, yielding mostly favorable although preliminary results, indicating the need for more extensive testing. Conclusions: The findings reported in the studies highlight the fact that these technologies are appropriate for the therapy of children with ASD. Several studies showed a distinct trend toward the use of AR technology as an educational tool for people with ASD. This trend entails multidisciplinary cooperation and an integrated research approach, with an emphasis on comprehensive empirical evaluations and technology ethics.</t>
  </si>
  <si>
    <t>[Toma, Marian-Vladut; Vlad, Sorin; Tiliute, Doru Eugen; Pascu, Paul] Stefancel Mare Univ Suceava, Fac Econ Adm &amp; Business, Suceava, Romania; [Turcu, Cristina Elena; Turcu, Corneliu Octavian] Univ Suceava, Fac Elect Engn &amp; Comp Sci, Suceava, Romania; [Toma, Marian-Vladut] Stefancel Mare Univ, Fac Econ Adm &amp; Business, Univ St Nr 13, Suceava 720229, Romania</t>
  </si>
  <si>
    <t>Stefan cel Mare University of Suceava; Stefan cel Mare University of Suceava; Stefan cel Mare University of Suceava</t>
  </si>
  <si>
    <t>Toma, MV (corresponding author), Stefancel Mare Univ, Fac Econ Adm &amp; Business, Univ St Nr 13, Suceava 720229, Romania.</t>
  </si>
  <si>
    <t>vlad.toma@usm.ro</t>
  </si>
  <si>
    <t>Toma, Vlad/ACF-1606-2022; TURCU, Cornel/U-4413-2017; Turcu, Cristina/C-4957-2015; Vlad, Sorin/MGU-3832-2025; Pascu, Paul/MGV-2336-2025</t>
  </si>
  <si>
    <t>PASCU, Paul/0009-0007-1087-0367; Turcu, Cristina/0000-0003-0151-3943</t>
  </si>
  <si>
    <t>ICT-CENTRIC [119722, 22080]; Autism ASSISTant-Asistent virtual pentru dezvoltarea abilita ilor cognitive ale copiilor cu patologie de spectru autist project [5/AXA 1/1.2.3/G, SMIS 2014+ 119722, P_40_305]</t>
  </si>
  <si>
    <t>ICT-CENTRIC; Autism ASSISTant-Asistent virtual pentru dezvoltarea abilita ilor cognitive ale copiilor cu patologie de spectru autist project</t>
  </si>
  <si>
    <t>This research was funded by the 119722/Centru pentru transferul de cuno tin e catre intreprinderi din domeniul ICT-CENTRIC, Contract subsidiar 22080/05.10.2022/Autism/ASSIST, Autism ASSISTant-Asistent virtual pentru dezvoltarea abilita ilor cognitive ale copiilor cu patologie de spectru autist project, contract 5/AXA 1/1.2.3/G/13.06.2018, code SMIS 2014+ 119722 (ID P_40_305).</t>
  </si>
  <si>
    <t>e49906</t>
  </si>
  <si>
    <t>10.2196/49906</t>
  </si>
  <si>
    <t>JQ6K0</t>
  </si>
  <si>
    <t>WOS:001174667700001</t>
  </si>
  <si>
    <t>Glaser, N; Thull, C; Schmidt, M; Tennant, A; Moon, J; Ousley, C</t>
  </si>
  <si>
    <t>Glaser, Noah; Thull, Charles; Schmidt, Matthew; Tennant, Alice; Moon, Jewoong; Ousley, Cannon</t>
  </si>
  <si>
    <t>Learning Experience Design and Unpacking Sociocultural, Technological, and Pedagogical Design Considerations of Spherical Video-Based Virtual Reality Systems for Autistic Learners: A Systematic Literature Review</t>
  </si>
  <si>
    <t>Virtual reality; Autism; Spherical video-based virtual reality; Mobile virtual reality; Systematic literature review</t>
  </si>
  <si>
    <t>SPECTRUM DISORDER; INDIVIDUALS; ADOLESCENTS; STATE; INTERVENTIONS; METAANALYSIS; SKILLS</t>
  </si>
  <si>
    <t>This systematic literature review discusses the use of spherical video-based virtual reality (SVVR) as a training and therapy intervention for autistic individuals. The authors emphasize the need for an evidence-based framework with guidelines and design considerations to help developers and educators tailor SVVR to the diverse needs of autistic learners. The paper highlights the unique benefits of SVVR, such as being relatively easier to develop compared to other VR technologies and high compatibility with various devices, making it more affordable for educational settings. The authors also discuss the importance of the STP (Sociotechnical-Pedagogical) framework for evaluating and designing social aspects of SVVR interventions for autistic individuals.</t>
  </si>
  <si>
    <t>[Glaser, Noah] Univ Missouri, Sch Informat Sci &amp; Learning Technol, Columbia, MO 65211 USA; [Thull, Charles] Old Dominion Univ, Norfolk, VA USA; [Schmidt, Matthew] Univ Georgia UGA, Learning Design &amp; Technol Dept, Athens, GA USA; [Tennant, Alice] Ulster Univ, Belfast, North Ireland; [Moon, Jewoong] Univ Alabama, Dept Educ Leadership Policy &amp; Technol Studies, Tuscaloosa, AL USA; [Ousley, Cannon] Univ Missouri, Columbia, MO USA</t>
  </si>
  <si>
    <t>University of Missouri System; University of Missouri Columbia; Old Dominion University; University System of Georgia; University of Georgia; Ulster University; University of Alabama System; University of Alabama Tuscaloosa; University of Missouri System; University of Missouri Columbia</t>
  </si>
  <si>
    <t>Glaser, N (corresponding author), Univ Missouri, Sch Informat Sci &amp; Learning Technol, Columbia, MO 65211 USA.</t>
  </si>
  <si>
    <t>noah.glaser@missouri.edu; cthul001@odu.edu; Matthew.Schmidt@uga.edu; tennant-a2@ulster.ac.uk; jmoon19@ua.edu; cort6@umsystem.edu</t>
  </si>
  <si>
    <t>Moon, Jewoong/AFN-2663-2022; Thull, Charles/JXX-4291-2024; Glaser, Noah/HNR-3521-2023</t>
  </si>
  <si>
    <t>10.1007/s10803-023-06168-3</t>
  </si>
  <si>
    <t>L6C9E</t>
  </si>
  <si>
    <t>WOS:001120721600001</t>
  </si>
  <si>
    <t>Moon, J; Choi, GW; Seo, JY</t>
  </si>
  <si>
    <t>Moon, Jewoong; Choi, Gi Woong; Seo, Joo Young</t>
  </si>
  <si>
    <t>Revisiting multimedia learning design principles in virtual reality-based learning environments for autistic individuals</t>
  </si>
  <si>
    <t>Virtual reality; Autism; Cognitive load; Multimedia learning design</t>
  </si>
  <si>
    <t>COGNITIVE LOAD THEORY; INSTRUCTIONAL-DESIGN; SPECTRUM DISORDER; CHILDREN; MODEL; COMMUNICATION; ARCHITECTURE; DISABILITY; COHERENCE; EDUCATION</t>
  </si>
  <si>
    <t>Virtual reality (VR) offers promising opportunities for supporting autistic learners in developing social and cognitive skills. However, designing VR-based learning environments optimized for these learners requires a nuanced understanding that addresses their unique needs. This review article reconsiders the key theories of multimedia learning, including cognitive load theory and cognitive theory of multimedia learning, with the aim of illuminating how these theories can inform the development of effective VR-based learning environments for autistic learners. We propose four design goals for a VR-based learning environment optimized for autistic learners: (1) minimizing learners' extraneous load via attention guiding, (2) managing intrinsic cognitive load in problem-solving, (3) fostering germane processing through multiple representations, and (4) assessing cognitive load and implementing adaptive learning support design. In this exploration, we bring to demonstrate prevalent design challenges of existing VR-based learning environments for autistic individuals and offer prospective research trajectories for their enhancement. By incorporating a strengths-based approach, accommodating the diverse sensory needs, and recognizing the cognitive differences among autistic individuals, we aspire to advance a more inclusive VR design practice. This review presents crucial insights and direction for researchers and designers aiming to create effective, accessible, and inclusive VR-based learning environments for autistic learners and beyond.</t>
  </si>
  <si>
    <t>[Moon, Jewoong] Univ Alabama, Dept Educ Policy Leadership &amp; Technol Studies, Tuscaloosa, AL 35487 USA; [Choi, Gi Woong] Univ Cincinnati, Cincinnati, OH USA; [Seo, Joo Young] Univ Illinois, Champaign, IL USA</t>
  </si>
  <si>
    <t>University of Alabama System; University of Alabama Tuscaloosa; University System of Ohio; University of Cincinnati; University of Illinois System; University of Illinois Urbana-Champaign</t>
  </si>
  <si>
    <t>Moon, J (corresponding author), Univ Alabama, Dept Educ Policy Leadership &amp; Technol Studies, Tuscaloosa, AL 35487 USA.</t>
  </si>
  <si>
    <t>Moon, Jewoong/AAB-5647-2019; Seo, JooYoung/AAS-2446-2021</t>
  </si>
  <si>
    <t>Moon, Jewoong/0000-0001-6311-3019; Seo, JooYoung/0000-0002-4064-6012; Choi, Gi Woong/0000-0002-9631-3727</t>
  </si>
  <si>
    <t>10.1007/s10055-023-00856-2</t>
  </si>
  <si>
    <t>AZ9X2</t>
  </si>
  <si>
    <t>WOS:001062310100001</t>
  </si>
  <si>
    <t>Meins, IA; Muijsson-Bouwman, DC; Nijman, SA; Greaves-Lord, K; Veling, W; Pijnenborg, GHM; van der Stouwe, ECD</t>
  </si>
  <si>
    <t>Meins, Ivo Alexander; Muijsson-Bouwman, Dauw Catharina; Nijman, Saskia Anne; Greaves-Lord, Kirstin; Veling, Wim; Pijnenborg, Gerdina Hendrika Maria; van der Stouwe, Elisabeth Christine Dorothee</t>
  </si>
  <si>
    <t>VR-SOAP, a modular virtual reality treatment for improving social activities and participation of young people with psychosis: a study protocol for a single-blind multi-centre randomized controlled trial</t>
  </si>
  <si>
    <t>Social functioning; Psychotic disorder; Virtual Reality; Personalized Treatment</t>
  </si>
  <si>
    <t>PSYCHOMETRIC PROPERTIES; SELF-ESTEEM; SCHIZOPHRENIA; INDIVIDUALS; SCALE; SKILLS; METAANALYSIS; FRAMEWORK</t>
  </si>
  <si>
    <t>BackgroundYoung people with a psychotic disorder have the same social goals as their healthy peers, but their social networks are smaller, they participate less often in leisure activities and are less successful in work and education. Causes of these problems are multifaceted, but culminate in difficulties with interacting in daily life social situations. Current treatments have only moderate effects on social functioning and often target one specific domain. Virtual reality (VR) has the potential to improve the treatment of social interaction difficulties. We developed a modular VR treatment for social functioning and participation (VR-SOAP). In this study, the effect of this intervention will be investigated in a randomized controlled trial (RCT).MethodsA total of 116 participants (age 18-40) with a DSM-5 diagnosis of schizophrenia spectrum or other psychotic disorder and problems with social functioning will be recruited from mental healthcare institutes in the Netherlands. Participants will be randomized to the experimental condition (VR-SOAP) or active VR control condition (VRelax). VR-SOAP consists of 14 sessions and 5 modules addressing causes of impaired social functioning: four optional modules (1-4) and one fixed module (5). Vrelax consists of 14 sessions that entail psychoeducation, stress management, relaxation techniques, and the exploration of relaxing environments in VR. Primary outcomes are quantity and quality of social contacts, leisure activities and social participation, measured with the experience sampling method (ESM). Secondary outcomes are psychiatric symptoms, social behaviour, social cognition, self-esteem, self-stigma and paranoid thoughts. Treatment effects will be compared at pre-treatment (baseline), post-treatment and at 6-month follow-up.DiscussionIf VR-SOAP proves to be effective, it provides therapists with a much-needed tool to improve social functioning of young adults with a psychotic disorder. Additionally, since the treatment consists of multiple modules targeting different transdiagnostic factors, this trial might provide input for new treatments to improve social functioning in a range of symptoms and disorders, e.g. mood, autism spectrum and anxiety disorders.</t>
  </si>
  <si>
    <t>[Meins, Ivo Alexander; Muijsson-Bouwman, Dauw Catharina; Nijman, Saskia Anne; Veling, Wim; van der Stouwe, Elisabeth Christine Dorothee] Univ Groningen, Univ Med Ctr Groningen, Univ Ctr Psychiat, Groningen, Netherlands; [Meins, Ivo Alexander; Nijman, Saskia Anne; Pijnenborg, Gerdina Hendrika Maria] Univ Groningen, Dept Clin &amp; Dev Neuropsychol, Groningen, Netherlands; [Meins, Ivo Alexander; Nijman, Saskia Anne; Pijnenborg, Gerdina Hendrika Maria] GGZ Drenthe, Assen, Netherlands; [Greaves-Lord, Kirstin] Jonx Groningen, Groningen, Netherlands</t>
  </si>
  <si>
    <t>University of Groningen; University of Groningen</t>
  </si>
  <si>
    <t>Meins, IA; Muijsson-Bouwman, DC (corresponding author), Univ Groningen, Univ Med Ctr Groningen, Univ Ctr Psychiat, Groningen, Netherlands.;Meins, IA (corresponding author), Univ Groningen, Dept Clin &amp; Dev Neuropsychol, Groningen, Netherlands.;Meins, IA (corresponding author), GGZ Drenthe, Assen, Netherlands.</t>
  </si>
  <si>
    <t>i.a.meins@rug.nl; d.c.muijsson@umcg.nl</t>
  </si>
  <si>
    <t>Meins, Ivo Alexander/0000-0001-7279-6456; Nijman, Saskia/0000-0002-7214-6610; Veling, Wim/0000-0002-1364-9779</t>
  </si>
  <si>
    <t>Netherlands Organization for Scientific Research [NWO Aut.17.003.6617]; University of Groningen, Department of Clinical Neuropsychology; GGZ Drenthe, Department of Long-term Care</t>
  </si>
  <si>
    <t>Netherlands Organization for Scientific Research(Netherlands Organization for Scientific Research (NWO)); University of Groningen, Department of Clinical Neuropsychology; GGZ Drenthe, Department of Long-term Care</t>
  </si>
  <si>
    <t>The Netherlands Organization for Scientific Research has funded the study (NWO grant number: NWO Aut.17.003.6617). PhD position, salary and bench fee of IM is financed by the university of Groningen, Department of Clinical Neuropsychology and GGZ Drenthe, Department of Long-term Care.</t>
  </si>
  <si>
    <t>APR 15</t>
  </si>
  <si>
    <t>10.1186/s13063-023-07241-z</t>
  </si>
  <si>
    <t>D9WN0</t>
  </si>
  <si>
    <t>WOS:000972160800003</t>
  </si>
  <si>
    <t>Maddalon, L; Minissi, ME; Torres, SC; Gómez-García, S; Alcañiz, M</t>
  </si>
  <si>
    <t>Maddalon, Luna; Minissi, Maria Eleonora; Torres, Sergio C.; Gomez-Garcia, Soledad; Alcaniz, Mariano</t>
  </si>
  <si>
    <t>VIRTUAL HUMANS FOR ASD INTERVENTION: A BRIEF SCOPING REVIEW</t>
  </si>
  <si>
    <t>virtual human; conversational agent; virtual agent; autistic spectrum disorder; training; intervention</t>
  </si>
  <si>
    <t>AUTISM; REALITY</t>
  </si>
  <si>
    <t>Individuals with autism spectrum disorder may present social-communicative and behavioral deficits. Recently, research on treatment and diagnosis has shifted its focus to the application of new tech-nologies. Among them is virtual reality, which guarantees a high sense of realism to the experience and allows the implementation of a virtual agent that facilitates the use of the application. In social skills interventions, it has been mostly chosen to implement a virtual agent with a human appearance. Virtual humans guide the user-system interaction through the use of verbal and nonverbal language. They can be equipped with responsiveness: the ability to provide responses to the user based on data recorded during the use of the technology. Responsiveness is functional when the goal is to create an interaction similar to that of everyday life, as it allows for behavioral responses and, at a more sophisticated level, vocal responses. Considering virtual agents capable of holding a conversation with the user, to date three different methods have been implemented that make communication more or less realistic. This brief review proposes a synopsis of relevant virtual humans' features and highlights some key ASD research areas wherein virtual humans are implemented for diagnosis and treatment. A total of 11 studies were selected and their analysis was summarized into 7 main categories. Finally, the clinical and technological implications of the results found were discussed.</t>
  </si>
  <si>
    <t>[Maddalon, Luna; Minissi, Maria Eleonora; Torres, Sergio C.; Alcaniz, Mariano] Univ Politecn Valencia, Inst Univ Invest Tecnol Centrada Ser Humano HUMAN, Valencia, Spain; [Gomez-Garcia, Soledad] Univ Catolica Valencia, Fac Magisterio &amp; Ciencias Educ, Valencia, Spain</t>
  </si>
  <si>
    <t>Universitat Politecnica de Valencia; Universidad Catolica de Valencia San Vicente Martir</t>
  </si>
  <si>
    <t>Maddalon, L (corresponding author), Univ Politecn Valencia, I3B CPI Cubo 8B,Camino Vera S-N, Valencia 46022, Spain.</t>
  </si>
  <si>
    <t>lmaddal@i3b.upv.es</t>
  </si>
  <si>
    <t>Alcañiz, Mariano/CAG-6569-2022; Cervera Torres, Sergio/AAC-7168-2020; Alcaniz, Mariano/I-9659-2016</t>
  </si>
  <si>
    <t>Cervera Torres, Sergio/0000-0003-1689-4654; Alcaniz, Mariano/0000-0001-9207-0636; Gomez Garcia, Soledad/0000-0002-0181-8678</t>
  </si>
  <si>
    <t>Ministry of Science and Innovation of Spain ADAPTEA [PID2020-116422RB-C21]</t>
  </si>
  <si>
    <t>Ministry of Science and Innovation of Spain ADAPTEA</t>
  </si>
  <si>
    <t>Acknowledgments: This work was supported by the project funded by the Ministry of Science and Innovation of Spain ADAPTEA (PID2020-116422RB-C21) .</t>
  </si>
  <si>
    <t>L1PM9</t>
  </si>
  <si>
    <t>WOS:001021046700011</t>
  </si>
  <si>
    <t>Rane, D; Sharma, P; Singh, M; Lahiri, U</t>
  </si>
  <si>
    <t>Rane, Dharma; Sharma, Prachi; Singh, Madhu; Lahiri, Uttama</t>
  </si>
  <si>
    <t>Virtual Reality Based Gaze-Sensitive Aiming Task Platform: Role of Attention Allocation in Task Performance for Individuals With Autism and Typically Developing Individuals</t>
  </si>
  <si>
    <t>Autism; far-aiming task; fixation duration; virtual reality</t>
  </si>
  <si>
    <t>COORDINATION; CHILDREN; EYE; MOVEMENT; FIXATION</t>
  </si>
  <si>
    <t>Individuals with Autism Spectrum Disorder (ASD) often exhibit difficulty in movement preparation and allocating attention towards different Regions of Interest (ROIs) of a visual stimulus. Though research has alluded to differences in movement preparation for aiming tasks between individuals with ASD and typically developing (TD) individuals, there is limited evidence (true for near-aiming tasks) on the contribution of the window (i.e., time duration) of movement preparation (i.e., the planning window preceding movement initiation) on one's aiming performance. However, investigation of the contribution of this planning window on one's performance in far-aiming task remains as majorly unexplored. Again, often one's eye movement leads the initiation of hand movement (for task execution) indicating the importance of monitoring one's eye movement in the planning stage, critical for far-aiming task. Most of the studies (in conventional settings) examining the role of gaze behavior on aiming performance have involved TD individuals and only a few involving individuals with ASD. Here, we have designed Virtual Reality (VR)-based Gaze-sensitive far-aiming (dart throw) task and monitored the looking pattern of participants while they interacted with the task environment. We carried out a study with 40 participants (20 in each of ASD and TD groups) to understand how the participant groups differed in task performance and gaze fixation within the movement planning window. We observed difference in the scan path and last fixation within the movement planning window before triggering the release of the dart with relevance to task performance.</t>
  </si>
  <si>
    <t>[Rane, Dharma; Lahiri, Uttama] IIT Gandhinagar, Gandhinagar 382355, India; [Sharma, Prachi; Singh, Madhu] BM Inst Mental Hlth, Ahmadabad 380009, India</t>
  </si>
  <si>
    <t>Rane, D (corresponding author), IIT Gandhinagar, Gandhinagar 382355, India.</t>
  </si>
  <si>
    <t>parashuram_rane@iitgn.ac.in; maiprachi@gmail.com; director@bmimh.com; uttamalahiri@iitgn.ac.in</t>
  </si>
  <si>
    <t>LAHIRI, UTTAMA/0000-0002-0607-5404; Rane, Dharma/0000-0001-6741-5559; Singh, Madhu/0000-0002-5913-4121</t>
  </si>
  <si>
    <t>10.1109/TNSRE.2023.3248126</t>
  </si>
  <si>
    <t>9O3WM</t>
  </si>
  <si>
    <t>WOS:000943534200003</t>
  </si>
  <si>
    <t>Haskins, AJ; Mentch, J; Van Wicklin, C; Choi, YB; Robertson, CE</t>
  </si>
  <si>
    <t>Haskins, Amanda J. J.; Mentch, Jeff; Van Wicklin, Caitlin; Choi, Yeo Bi; Robertson, Caroline E. E.</t>
  </si>
  <si>
    <t>Brief Report: Differences in Naturalistic Attention to Real-World Scenes in Adolescents with 16p.11.2 Deletion</t>
  </si>
  <si>
    <t>Visual attention; Eyetracking; 16p; 11; 2 deletion; Autism</t>
  </si>
  <si>
    <t>AUTISM SPECTRUM DISORDER; VISUAL SALIENCY; EYE-MOVEMENTS; 16P11.2; PATTERNS; DISENGAGEMENT; INDIVIDUALS; CHILDREN</t>
  </si>
  <si>
    <t>Sensory differences are nearly universal in autism, but their genetic origins are poorly understood. Here, we tested how individuals with an autism-linked genotype, 16p.11.2 deletion ( 16p ), attend to visual information in immersive, real-world photospheres. We monitored participants' (N = 44) gaze while they actively explored 360 &amp; DEG; scenes via headmounted virtual reality. We modeled the visually salient and semantically meaningful information in scenes and quantified the relative bottom-up vs. top-down influences on attentional deployment. We found, when compared to typically developed control (TD) participants, 16p participants' attention was less dominantly predicted by semantically meaningful scene regions, relative to visually salient regions. These results suggest that a reduction in top-down relative to bottom-up attention characterizes how individuals with 16p.11.2 deletions engage with naturalistic visual environments.</t>
  </si>
  <si>
    <t>[Haskins, Amanda J. J.; Choi, Yeo Bi; Robertson, Caroline E. E.] Dartmouth Coll, Dept Psychol &amp; Brain Sci, 3 Maynard St, Hanover, NH 03755 USA; [Mentch, Jeff] Harvard Univ, Program Speech &amp; Hearing Biosci &amp; Technol, Boston, MA 02115 USA; [Mentch, Jeff; Van Wicklin, Caitlin] MIT, McGovern Inst Brain Res, Cambridge, MA 02139 USA</t>
  </si>
  <si>
    <t>Haskins, AJ (corresponding author), Dartmouth Coll, Dept Psychol &amp; Brain Sci, 3 Maynard St, Hanover, NH 03755 USA.</t>
  </si>
  <si>
    <t>, Caroline/0000-0002-1858-6594; Haskins, Amanda/0000-0002-3099-999X</t>
  </si>
  <si>
    <t>Nancy Lurie Marks Family Foundation; Simons Foundation Autism Research Initiative [597694]</t>
  </si>
  <si>
    <t>Nancy Lurie Marks Family Foundation; Simons Foundation Autism Research Initiative</t>
  </si>
  <si>
    <t>Funding was provided by Nancy Lurie Marks Family Foundation and Simons Foundation Autism Research Initiative (Grant Number 597694)</t>
  </si>
  <si>
    <t>10.1007/s10803-022-05850-2</t>
  </si>
  <si>
    <t>JR5M2</t>
  </si>
  <si>
    <t>WOS:000898774700001</t>
  </si>
  <si>
    <t>Babu, PRK; Sinha, S; Roshaan, AS; Lahiri, U</t>
  </si>
  <si>
    <t>Babu, Pradeep Raj Krishnappa; Sinha, Sujata; Roshaan, Arvind S. S.; Lahiri, Uttama</t>
  </si>
  <si>
    <t>Multiuser Digital Platform to Promote Interaction Skill in Individuals With Autism</t>
  </si>
  <si>
    <t>Autism; Face recognition; Buildings; Bridges; Vocabulary; collaborative interaction; human-computer interaction; multiuser interaction platform; social interaction; virtual reality (VR)</t>
  </si>
  <si>
    <t>VIRTUAL-REALITY; CHILDREN; COMMUNICATION; RECIPROCITY; INTENTIONS; GAME</t>
  </si>
  <si>
    <t>Individuals with autism spectrum disorder (ASD) face milestones in understanding other's preferences and intentions that in turn affect their reciprocity and interaction skills during a collaborative partnership. Investigators are advocating the use of digital-medium-based multiuser platforms to encourage learning of collaborative interaction skills among these children. Although currently available platforms encourage interaction, these do not consider aspects, e.g., anticipating and understanding the partner's preference (or intentions) along with spontaneous reciprocation through turn-taking, important for nurturing effective interaction. In this article, we have developed a multiuser virtual-reality-based interaction skill learning platform (M-VISP) in which the users can interact with each other through turn-taking using the digital platform. Successful execution of the task (quantified in terms of performance) needs them to understand each other's preferences before reciprocating. A usability study was designed in which individuals with ASD (n = 18) and typical development (n = 18) volunteered. Results indicated that the multiuser interaction facility offered by M-VISP could quantify one's ability to understand the preference of a partner in terms of their performance in a task and the spontaneity with which one reciprocated. Additionally, we observed an improving trend in the ability to understand a partner's preference along with exhibiting spontaneity in reciprocation among individuals with ASD.</t>
  </si>
  <si>
    <t>[Babu, Pradeep Raj Krishnappa] Indian Inst Technol Gandhinagar, Ctr Cognit &amp; Brain Sci, Gandhinagar 382355, India; [Sinha, Sujata] McGill Univ, Fac Med, Montreal, PQ H3A 0G4, Canada; [Roshaan, Arvind S. S.] Indian Inst Technol Hyderabad, Hyderabad 502285, India; [Lahiri, Uttama] Indian Inst Technol Gandhinagar, Elect Engn Dept, Gandhinagar 382355, India</t>
  </si>
  <si>
    <t>Indian Institute of Technology System (IIT System); Indian Institute of Technology (IIT) - Gandhinagar; McGill University; Indian Institute of Technology System (IIT System); Indian Institute of Technology (IIT) - Hyderabad; Indian Institute of Technology System (IIT System); Indian Institute of Technology (IIT) - Gandhinagar</t>
  </si>
  <si>
    <t>Babu, PRK (corresponding author), Indian Inst Technol Gandhinagar, Ctr Cognit &amp; Brain Sci, Gandhinagar 382355, India.</t>
  </si>
  <si>
    <t>pradeep.rj1@gmail.com; sujatasinhacse@gmail.com; arvind.roshaan@iitgn.ac.in; uttamalahiri@iitgn.ac.in</t>
  </si>
  <si>
    <t>SINHA, SUJATA/GZA-5385-2022; Babu, Pradeep/AAK-1536-2021</t>
  </si>
  <si>
    <t>Ph.D. Scholarship via Visvesveraya Ph.D. Scheme; Visvesveraya Ph.D. Scheme, Ministry of Electronicsand Information Technology, Government of India</t>
  </si>
  <si>
    <t>he work of Pradeep Raj KrishnappaBabu was supported by the Ph.D. Scholarship via Visvesveraya Ph.D. Scheme.This work was supported by Visvesveraya Ph.D. Scheme, Ministry of Electronicsand Information Technology, Government of India under Grant MEITY-PHD-245</t>
  </si>
  <si>
    <t>DEC 1</t>
  </si>
  <si>
    <t>10.1109/TLT.2022.3199334</t>
  </si>
  <si>
    <t>7T2LW</t>
  </si>
  <si>
    <t>WOS:000911279300013</t>
  </si>
  <si>
    <t>García, AS; Fernández-Sotos, P; González, P; Navarro, E; Rodriguez-Jimenez, R; Fernández-Caballero, A</t>
  </si>
  <si>
    <t>Garcia, Arturo S.; Fernandez-Sotos, Patricia; Gonzalez, Pascual; Navarro, Elena; Rodriguez-Jimenez, Roberto; Fernandez-Caballero, Antonio</t>
  </si>
  <si>
    <t>Behavioral intention of mental health practitioners toward the adoption of virtual humans in affect recognition training</t>
  </si>
  <si>
    <t>affect recognition; mental health; social cognition; technology acceptance; UTAUT2; virtual humans</t>
  </si>
  <si>
    <t>SOCIAL COGNITION; PLS-SEM; SCHIZOPHRENIA; REALITY; INTELLIGENCE; ACCEPTANCE; EMOTION; FACES</t>
  </si>
  <si>
    <t>This paper explores the key factors influencing mental health professionals' behavioral intention to adopt virtual humans as a means of affect recognition training. Therapies targeting social cognition deficits are in high demand given that these deficits are related to a loss of functioning and quality of life in several neuropsychiatric conditions such as schizophrenia, autism spectrum disorders, affective disorders, and acquired brain injury. Therefore, developing new therapies would greatly improve the quality of life of this large cohort of patients. A questionnaire based on the second revision of the Unified Theory of Acceptance and Use of Technology (UTAUT2) questionnaire was used for this study. One hundred and twenty-four mental health professionals responded to the questionnaire after viewing a video presentation of the system. The results confirmed that mental health professionals showed a positive intention to use virtual reality tools to train affect recognition, as they allow manipulation of social interaction with patients. Further studies should be conducted with therapists from other countries to reach more conclusions.</t>
  </si>
  <si>
    <t>[Garcia, Arturo S.; Gonzalez, Pascual; Navarro, Elena; Fernandez-Caballero, Antonio] Inst Invest Informat Albacete, Unidad Multidisciplinar Invest Neurocognic &amp; Emoc, Albacete, Spain; [Garcia, Arturo S.; Gonzalez, Pascual; Navarro, Elena; Fernandez-Caballero, Antonio] Univ Castilla La Mancha, Dept Sistemas Informat, Albacete, Spain; [Fernandez-Sotos, Patricia] Complejo Hosp Univ Albacete, Serv Salud Mental, Albacete, Spain; [Fernandez-Sotos, Patricia; Gonzalez, Pascual; Navarro, Elena; Rodriguez-Jimenez, Roberto; Fernandez-Caballero, Antonio] Biomed Res Networking Ctr Mental Hlth CIBERSAM, Madrid, Spain; [Rodriguez-Jimenez, Roberto] Inst Invest Sanitaria Hosp 12 Octubre Imas12, Area Neurociencias &amp; Salud Mental, Cognic &amp; Psicosis, Madrid, Spain; [Rodriguez-Jimenez, Roberto] Univ Complutense Madrid, CogPsy Grp, Madrid, Spain</t>
  </si>
  <si>
    <t>Universidad de Castilla-La Mancha; CIBER - Centro de Investigacion Biomedica en Red; CIBERSAM; Complutense University of Madrid</t>
  </si>
  <si>
    <t>Fernández-Caballero, A (corresponding author), Inst Invest Informat Albacete, Unidad Multidisciplinar Invest Neurocognic &amp; Emoc, Albacete, Spain.;Fernández-Caballero, A (corresponding author), Univ Castilla La Mancha, Dept Sistemas Informat, Albacete, Spain.;Fernández-Caballero, A (corresponding author), Biomed Res Networking Ctr Mental Hlth CIBERSAM, Madrid, Spain.</t>
  </si>
  <si>
    <t>antonio.fdez@uclm.es</t>
  </si>
  <si>
    <t>Jimenez, Arturo/ABH-3849-2020; Fernández-Caballero, Antonio/A-8304-2015; González, Pascual/E-3693-2016; Fernández-Sotos, Patricia/E-5288-2016; Navarro, Elena/I-7452-2013</t>
  </si>
  <si>
    <t>Garcia, Arturo S./0000-0003-0671-324X; Navarro, Elena/0000-0001-9496-6890</t>
  </si>
  <si>
    <t>Spanish Agencia Estatal de Investigacion; MCIN/AEI [PID2020-115220RBC21, PID2019-108915RB-I0, EQC2019-006063-P]; ERDF A way to make Europe; CIBERSAM of the Instituto de Salud Carlos III (ISCIII); European Union</t>
  </si>
  <si>
    <t>Spanish Agencia Estatal de Investigacion(Spanish Government); MCIN/AEI; ERDF A way to make Europe; CIBERSAM of the Instituto de Salud Carlos III (ISCIII); European Union(European Union (EU))</t>
  </si>
  <si>
    <t>This study received funding from Spanish Agencia Estatal de Investigacion. The funder was not involved in the study design, collection, analysis, interpretation of data, the writing of this article or the decision to submit it for publication. Grants PID2020-115220RBC21, PID2019-108915RB-I0, and EQC2019-006063-P funded by MCIN/AEI/10.13039/501100011033 and by ERDF A way to make Europe. This work was also partially funded by CIBERSAM of the Instituto de Salud Carlos III (ISCIII) and co-funded by the European Union.</t>
  </si>
  <si>
    <t>OCT 12</t>
  </si>
  <si>
    <t>10.3389/fpsyg.2022.934880</t>
  </si>
  <si>
    <t>5U7QX</t>
  </si>
  <si>
    <t>WOS:000876738800001</t>
  </si>
  <si>
    <t>Savickaite, S; Husselman, TA; Taylor, R; Millington, E; Hayashibara, E; Arthur, T</t>
  </si>
  <si>
    <t>Savickaite, Sarune; Husselman, Tammy-Ann; Taylor, Rebecca; Millington, Elliot; Hayashibara, Emma; Arthur, Tom</t>
  </si>
  <si>
    <t>Applications of virtual reality (VR) in autism research: current trends and taxonomy of definitions</t>
  </si>
  <si>
    <t>Autism; Virtual Reality; Psychology; Neurodiversity; Immersive technology; Nomenclature</t>
  </si>
  <si>
    <t>SPECTRUM; DISORDER; CHILDREN</t>
  </si>
  <si>
    <t>Purpose Recent work could further improve the use of VR technology by advocating the use of psychological theories in task design and highlighting certain properties of VR configurations and human - VR interactions. The variety of VR technology used in the trials prevents us from establishing a systematic relationship between the technology type and its effectiveness. As such, more research is needed to study this link, and our piece is an attempt to shed a spotlight on the issue. Design/methodology/approach To explore recent developments in the field, the authors followed the procedures of scoping review by Savickaite et al. (2022) and included publications from 2021 to 2022. Findings In this updated analysis, it was clear that the research themes emerging over the last two years were similar to those identified previously. Social training and intervention work still dominates the research area, in spite of recent calls from the autism community to broaden the scientific understanding of neurodivergent experiences and daily living behaviours. Although, autism is often characterised by difficulties with social interactions, it is just one part of the presentation. Sensory differences, motor difficulties and repetitive behaviours are also important facets of the condition, as well as various wider aspects of health, wellbeing and quality of life. However, many of these topics appear to be understudied in research on VR applications for autism. Originality/value VR stands out from other representational technologies because of its immersion, presence and interactivity and has grown into its own niche. The question of what constitutes a truly immersive experience has resurfaced. We can no longer deny that VR has established itself in autism research. As the number of studies continues to grow, it is a perfect time to reconsider and update our notion of definitions of immersion and its reliance on hardware.</t>
  </si>
  <si>
    <t>[Savickaite, Sarune; Taylor, Rebecca; Millington, Elliot; Hayashibara, Emma] Univ Glasgow, Sch Psychol &amp; Neurosci, Glasgow, Lanark, Scotland; [Husselman, Tammy-Ann] Univ Cent Lancashire, Sch Psychol, Preston, Lancs, England; [Arthur, Tom] Univ Exeter, Dept Sport &amp; Hlth Sci, Exeter, Devon, England</t>
  </si>
  <si>
    <t>University of Glasgow; University of Central Lancashire; University of Exeter</t>
  </si>
  <si>
    <t>Savickaite, S (corresponding author), Univ Glasgow, Sch Psychol &amp; Neurosci, Glasgow, Lanark, Scotland.</t>
  </si>
  <si>
    <t>Savickaite, Sarune/AFF-7970-2022; Millington, Elliot/AAQ-5926-2021</t>
  </si>
  <si>
    <t>Hayashibara, Emma/0000-0001-5145-6217; Husselman, Tammy-Ann/0000-0002-3206-5496; Millington, Elliot/0000-0002-2580-4035; Savickaite, Sarune/0000-0001-5089-8371</t>
  </si>
  <si>
    <t>Funding: Sarune Savickaite is supported by a collaborative studentship from the Economic and Social Research Council (ESRC) of the United Kingdom, in collaboration with Sublime Digital Ltd (URL)</t>
  </si>
  <si>
    <t>10.1108/JET-05-2022-0038</t>
  </si>
  <si>
    <t>WOS:000834185900001</t>
  </si>
  <si>
    <t>Artiran, S; Ravisankar, R; Luo, S; Chukoskie, L; Cosman, P</t>
  </si>
  <si>
    <t>Artiran, Saygin; Ravisankar, Raghav; Luo, Sarah; Chukoskie, Leanne; Cosman, Pamela</t>
  </si>
  <si>
    <t>Measuring Social Modulation of Gaze in Autism Spectrum Condition With Virtual Reality Interviews</t>
  </si>
  <si>
    <t>Behavioral sciences; Interviews; Modulation; Headphones; Autism; Oral communication; Signal processing algorithms; Gaze behavior; job interview practice; signal processing; neurodivergence; virtual reality; social modulation</t>
  </si>
  <si>
    <t>EYE-TRACKING; INTERPERSONAL DISTANCE; FUNCTIONING AUTISM; DISORDER; INDIVIDUALS; EMPLOYMENT; ADULTS; CHILDREN; DESIGN; NEURODIVERSITY</t>
  </si>
  <si>
    <t>Gaze behavior in dyadic conversations can indicate active listening and attention. However, gaze behavior that is different from the engagement expected during neurotypical social interaction cues may be interpreted as uninterested or inattentive, which can be problematic in both personal and professional situations. Neurodivergent individuals, such as those with autism spectrum conditions, often exhibit social communication differences broadly including via gaze behavior. This project aims to support situational social gaze practice through a virtual reality (VR) mock job interview practice using the HTC Vive Pro Eye VR headset. We show how gaze behavior varies in the mock job interview between neurodivergent and neurotypical participants. We also investigate the social modulation of gaze behavior based on conversational role (speaking and listening). Our three main contributions are: (i) a system for fully-automatic analysis of social modulation of gaze behavior using a portable VR headset with a novel realistic mock job interview, (ii) a signal processing pipeline, which employs Kalman filtering and spatial-temporal density-based clustering techniques, that can improve the accuracy of the headset's built-in eye-tracker, and (iii) being the first to investigate social modulation of gaze behavior among neurotypical/divergent individuals in the realm of immersive VR.</t>
  </si>
  <si>
    <t>[Artiran, Saygin; Cosman, Pamela] Univ Calif San Diego, Dept Elect &amp; Comp Engn, La Jolla, CA 92093 USA; [Ravisankar, Raghav] Univ Calif San Diego, Comp Sci &amp; Engn Dept, La Jolla, CA 92093 USA; [Ravisankar, Raghav] Univ Sydney, Fac Engn, Sydney, NSW 2006, Australia; [Luo, Sarah] Canyon Crest Acad, San Diego, CA 92130 USA; [Chukoskie, Leanne] Northeastern Univ, Dept Phys Therapy Movement &amp; Rehabil Sci, Boston, MA 02115 USA; [Chukoskie, Leanne] Northeastern Univ, Art Design Dept, Boston, MA 02115 USA</t>
  </si>
  <si>
    <t>University of California System; University of California San Diego; University of California System; University of California San Diego; University of Sydney; Northeastern University; Northeastern University</t>
  </si>
  <si>
    <t>sartiran@eng.ucsd.edu; ravisankarraghav@gmail.com; sarahwluo@gmail.com; l.chukoskie@northeastern.edu; pcosman@eng.ucsd.edu</t>
  </si>
  <si>
    <t>Ravisankar, Raghav/0000-0001-6227-2253; Chukoskie, Leanne/0000-0003-4041-3646; Artiran, Saygin/0000-0003-4620-6074; Cosman, Pamela/0000-0002-4012-0176</t>
  </si>
  <si>
    <t>National Science Foundation [DUE-1928604]</t>
  </si>
  <si>
    <t>This work was supported by the National Science Foundation under Grant DUE-1928604.</t>
  </si>
  <si>
    <t>10.1109/TNSRE.2022.3198933</t>
  </si>
  <si>
    <t>4G5UB</t>
  </si>
  <si>
    <t>WOS:000849260100002</t>
  </si>
  <si>
    <t>Minissi, ME; Giglioli, IAC; Mantovani, F; Sirera, M; Abad, L; Alcañiz, M</t>
  </si>
  <si>
    <t>Eleonora Minissi, Maria; Chicchi Giglioli, Irene Alice; Mantovani, Fabrizia; Sirera, Marian; Abad, Luis; Alcaniz, Mariano</t>
  </si>
  <si>
    <t>A qualitative and quantitative virtual reality usability study for the early assessment of ASD children.</t>
  </si>
  <si>
    <t>ANNUAL REVIEW OF CYBERTHERAPY AND TELEMEDICINE</t>
  </si>
  <si>
    <t>Autism Spectrum Disorder; Virtual Reality; Usability; Assessment</t>
  </si>
  <si>
    <t>The diagnosis of autism spectrum disorder (ASD) is usually done using structured and semi-structured interviews directed to children and caregivers. These procedures are administered by certified clinicians who have expertise in the assessment of ASD. However, on one side, semi-structured procedures addressed to children are usually administered in settings requiring ecological validity such as the laboratory; on the other side, structured interviews to caregivers rely on selfreport that might be affected by psychological response biases. There is the need to fulfil aforementioned needs, improving ASD assessment procedures through the use of both ecological settings and objective measures. The present study aims to investigate the usability of a novel procedure to assess ASD based on virtual reality (VR) and quantitative measures. 20 children with ASD and 20 children with typical development (TD) performed four basic tasks in the VR system Cave Assisted Virtual Environment (CAVET) while an examiner analysed the usability of the application as well as children's user experience. Quantitative behavioural variables related to children's performance across tasks were measured. Included tasks required children to interact in the virtual environment with childlike objects. Findings demonstrated that VR application was promising for the assessment of ASD due to good usability in three tasks out of four and positive user experience. Moreover, quantitative behavioural outcomes revealed differences between groups on time spent playing and accuracy across tasks. Quantitative and qualitative usability studies improve the effectiveness of new objective and technology-based ASD assessment procedures, in particular when children represent the population target.</t>
  </si>
  <si>
    <t>[Eleonora Minissi, Maria; Chicchi Giglioli, Irene Alice; Alcaniz, Mariano] Univ Politecn Valencia, Inst Invest &amp; Innovac Bioingn i3B, Valencia, Spain; [Mantovani, Fabrizia] Univ Milano Bicocca, Ctr Studies Commun Sci Luigi Anolli CESCOM, Dept Human Sci Educ Riccardo Massa, Milan, Italy; [Sirera, Marian; Abad, Luis] Ctr Desarrollo Cognit Red Cenit, Valencia, Spain</t>
  </si>
  <si>
    <t>Universitat Politecnica de Valencia; University of Milano-Bicocca</t>
  </si>
  <si>
    <t>Minissi, ME (corresponding author), Univ Politecn Valencia, Inst Invest &amp; Innovac Bioingn i3B, Valencia, Spain.</t>
  </si>
  <si>
    <t>meminissi@i3b.upv.es</t>
  </si>
  <si>
    <t>Alcañiz, Mariano/CAG-6569-2022; Mantovani, Fabrizia/AFM-7854-2022; Alcaniz, Mariano/I-9659-2016</t>
  </si>
  <si>
    <t>INTERACTIVE MEDIA INST</t>
  </si>
  <si>
    <t>SAN DIEGO</t>
  </si>
  <si>
    <t>9565 WAPLES ST, STE 200, SAN DIEGO, CA 92121 USA</t>
  </si>
  <si>
    <t>1554-8716</t>
  </si>
  <si>
    <t>2352-927X</t>
  </si>
  <si>
    <t>ANN REV CYBERTHERAPY</t>
  </si>
  <si>
    <t>Ann. Rev. CyberTherapy Telemed.</t>
  </si>
  <si>
    <t>3N9YG</t>
  </si>
  <si>
    <t>WOS:000836499200009</t>
  </si>
  <si>
    <t>Jung, MR; Lee, EM</t>
  </si>
  <si>
    <t>Jung, Miran; Lee, Eunmi</t>
  </si>
  <si>
    <t>Specialised Teachers' Perceptions on the Management of Aggressive Behaviours in Children and Adolescents with Autism Spectrum Disorders</t>
  </si>
  <si>
    <t>autism spectrum disorder; ASD; autism; childhood; aggressive behavior</t>
  </si>
  <si>
    <t>INTERVENTION; OUTCOMES; REALITY; ADULTS</t>
  </si>
  <si>
    <t>This study aimed to explore and describe the perception of specialized teachers regarding the management of aggressive behaviors in children and adolescents with autism spectrum disorders. Data were collected from 13 specialized teachers working in primary and secondary schools, using focus group interviews, and interview data were analyzed using an open coding method. The analysis of the specialized teachers' perceptions of the management of aggression in children and adolescents with autism revealed the following results. A central theme consistent practices to smooth edges was conceptualized along with the categories: educational responses to individual behaviors, which had sub-themes of identification of aggressive behavior patterns and strategic responses to aggressive behaviors observed; experience in interventions for aggressive behaviors, with sub-themes of individual intervention practices and school-led therapeutic support and factors preventing mitigation of aggression; and acceptance of virtual reality (VR) based intervention model for aggression, with sub-themes of acceptance of VR-based program applications and proposal for VR-based program contents. Based on the specialized teachers' perceptions examined in this study, more effective education and training intervention programs and support systems can be developed and provided for the management of aggressive behaviors in children and adolescents with autism.</t>
  </si>
  <si>
    <t>[Jung, Miran] Baekseok Univ, Dept Nursing, Cheonan 31065, South Korea; [Lee, Eunmi] Hoseo Univ, Res Inst Basic Sci, Dept Nursing, Asan 31499, South Korea</t>
  </si>
  <si>
    <t>Baekseok University; Hoseo University</t>
  </si>
  <si>
    <t>Lee, EM (corresponding author), Hoseo Univ, Res Inst Basic Sci, Dept Nursing, Asan 31499, South Korea.</t>
  </si>
  <si>
    <t>rcuty@bu.ac.kr; sweetbear2@hanmail.net</t>
  </si>
  <si>
    <t>Lee, Eunmi/AAS-2561-2020; Jung, Miran/AGD-4418-2022</t>
  </si>
  <si>
    <t>Lee, Eunmi/0000-0003-1998-6925; Jung, miran/0000-0001-7482-8706</t>
  </si>
  <si>
    <t>National Research Foundation of Korea (NRF) - Korea government (MSIT) [NRF-2018R1C1B5084570]</t>
  </si>
  <si>
    <t>National Research Foundation of Korea (NRF) - Korea government (MSIT)(National Research Foundation of KoreaMinistry of Science, ICT &amp; Future Planning, Republic of KoreaMinistry of Science &amp; ICT (MSIT), Republic of Korea)</t>
  </si>
  <si>
    <t>This work was supported by the National Research Foundation of Korea (NRF) grant funded by the Korea government (MSIT) (No. NRF-2018R1C1B5084570).</t>
  </si>
  <si>
    <t>10.3390/ijerph17238775</t>
  </si>
  <si>
    <t>PD1IB</t>
  </si>
  <si>
    <t>WOS:000597446400001</t>
  </si>
  <si>
    <t>Holz, NE; Meyer-Lindenberg, A</t>
  </si>
  <si>
    <t>Holz, Nathalie E.; Meyer-Lindenberg, Andreas</t>
  </si>
  <si>
    <t>The importance of social neurosciences for psychiatry</t>
  </si>
  <si>
    <t>NERVENARZT</t>
  </si>
  <si>
    <t>German</t>
  </si>
  <si>
    <t>Social brain; Schizophrenia; Conduct disorder; Autism; Social stress</t>
  </si>
  <si>
    <t>BRAIN; NEUROBIOLOGY; COGNITION; OXYTOCIN; AUTISM</t>
  </si>
  <si>
    <t>Background The social brain is dysfunctional in numerous stress-related psychiatric disorders. Objective The definition of social brain networks and their susceptibility for social environmental stress. It is also reviewed how social brain networks are disrupted in schizophrenia, autism and conduct disorder. Material and methods Literature search in PubMed. Results The social brain consists of several subnetworks that act in concert to foster empathy. Interestingly, except for the mirror neuron system, the neural networks of the social brain have been reported to be vulnerable to social environmental stress and have also been highlighted as being compromised in psychiatric disorders. As an example, schizophrenia is related to dysfunction in social perception, mentalizing, and affiliation, whereas the most pronounced deficits in autism are seen during social perception and mentalizing. Patients with conduct disorder are more prone to dysfunction in perception, affiliation and aversion. Conclusion Social stress affects subnetworks also compromised in psychiatric disorders. Therefore, it is plausible that the social brain might mediate the association between social stress and psychiatric disorders. To advance ecological validity in social neuroscience, recent research has highlighted the role of hyperscanning and virtual reality as means by which a more naturalistic assessment of social interactions might be feasible.</t>
  </si>
  <si>
    <t>[Holz, Nathalie E.; Meyer-Lindenberg, Andreas] Heidelberg Univ, Med Fak Mannheim, Zent Inst Seel Gesundheit, Klin Psychiat &amp; Psychotherapie Kindes &amp; Jugendalt, J5, D-68167 Mannheim, Germany</t>
  </si>
  <si>
    <t>Ruprecht Karls University Heidelberg; Central Institute of Mental Health</t>
  </si>
  <si>
    <t>Holz, NE (corresponding author), Heidelberg Univ, Med Fak Mannheim, Zent Inst Seel Gesundheit, Klin Psychiat &amp; Psychotherapie Kindes &amp; Jugendalt, J5, D-68167 Mannheim, Germany.</t>
  </si>
  <si>
    <t>nathalie.holz@zi-mannheim.de</t>
  </si>
  <si>
    <t>Meyer-Lindenberg, Andreas/H-1076-2011</t>
  </si>
  <si>
    <t>0028-2804</t>
  </si>
  <si>
    <t>1433-0407</t>
  </si>
  <si>
    <t>Nervenarzt</t>
  </si>
  <si>
    <t>10.1007/s00115-019-00791-1</t>
  </si>
  <si>
    <t>JK5NR</t>
  </si>
  <si>
    <t>WOS:000494890600005</t>
  </si>
  <si>
    <t>Sreedasyam, R; Rao, A; Sachidanandan, N; Sampath, N; Vasudevan, SK</t>
  </si>
  <si>
    <t>Sreedasyam, Rachita; Rao, Aishwarya; Sachidanandan, Nidhi; Sampath, Nalini; Vasudevan, Shriram K.</t>
  </si>
  <si>
    <t>Aarya - A Kinesthetic companion for children with Autism Spectrum Disorder</t>
  </si>
  <si>
    <t>JOURNAL OF INTELLIGENT &amp; FUZZY SYSTEMS</t>
  </si>
  <si>
    <t>2nd International Symposium on Intelligent Systems Technologies and Applications (ISTA)</t>
  </si>
  <si>
    <t>SEP 21-24, 2016</t>
  </si>
  <si>
    <t>Jaipur, INDIA</t>
  </si>
  <si>
    <t>Technology for autism; autism; Kinect2Scratch; Kinect; social interaction</t>
  </si>
  <si>
    <t>Autism Spectrum Disorder (ASD) is defined as a condition or disorder that begins in childhood and that causes problems in establishing relationships and communicating with other people. Aaryaworks as a personal well-being companion to children with Autism Spectrum Disorder while they interact with a virtual environment that is gesture based. By making an ASD affected child face real world situations, we try to improve his/her confidence in facing the world and being open to learning various skills. Social interaction and communication are the major challenges faced by children with ASD. In Aarya, we use gesture-based interface that is the Microsoft Kinect so that the child can find it easier to interact in the real world environment. Through the interactions made with the children and the results obtained, we understand that this tool can be a companion while giving chance for growth and improving their interacting ability. With further refinement and expert inputs, this tool can be built better.</t>
  </si>
  <si>
    <t>[Sreedasyam, Rachita; Rao, Aishwarya; Sachidanandan, Nidhi; Sampath, Nalini; Vasudevan, Shriram K.] Amrita Univ, Amrita Vishwa Vidyapeetham, Amrita Sch Engn, Dept Comp Sci &amp; Engn, Coimbatore, Tamil Nadu, India</t>
  </si>
  <si>
    <t>Amrita Vishwa Vidyapeetham; Amrita Vishwa Vidyapeetham Coimbatore</t>
  </si>
  <si>
    <t>Vasudevan, SK (corresponding author), Amrita Univ, Amrita Vishwa Vidyapeetham, Amrita Sch Engn, Dept Comp Sci &amp; Engn, Coimbatore, Tamil Nadu, India.</t>
  </si>
  <si>
    <t>kv_shriram@cb.amrita.edu</t>
  </si>
  <si>
    <t>Vasudevan, Shriram/AAE-5149-2019</t>
  </si>
  <si>
    <t>1064-1246</t>
  </si>
  <si>
    <t>1875-8967</t>
  </si>
  <si>
    <t>J INTELL FUZZY SYST</t>
  </si>
  <si>
    <t>J. Intell. Fuzzy Syst.</t>
  </si>
  <si>
    <t>10.3233/JIFS-169240</t>
  </si>
  <si>
    <t>ES8QX</t>
  </si>
  <si>
    <t>WOS:000399823000020</t>
  </si>
  <si>
    <t>Yang, XP; Wu, JL; Ma, YD; Yu, JX; Cao, H; Zeng, AH; Fu, R; Tang, YC; Ren, ZB</t>
  </si>
  <si>
    <t>Yang, Xipeng; Wu, Jinlong; Ma, Yudan; Yu, Jingxuan; Cao, Hong; Zeng, Aihua; Fu, Rui; Tang, Yucheng; Ren, Zhanbing</t>
  </si>
  <si>
    <t>Effectiveness of Virtual Reality Technology Interventions in Improving the Social Skills of Children and Adolescents With Autism: Systematic Review</t>
  </si>
  <si>
    <t>VR technology; autism spectrum disorder; children; adolescents; social skills; virtual reality; VR</t>
  </si>
  <si>
    <t>SPECTRUM DISORDER; COMMUNICATION INTERVENTION; RELIABILITY; FUTURE; RISK; TOOL; ASD</t>
  </si>
  <si>
    <t>Background: Virtual reality (VR) technology has shown significant potential in improving the social skills of children and adolescents with autism spectrum disorder (ASD). Objective: This study aimed to systematically review the evidence supporting the effectiveness of VR technology in improving the social skills of children and adolescents with ASD. Methods: The search for eligible studies encompassed 4 databases: PubMed, Web of Science, IEEE, and Scopus. Two (XY and JW) researchers independently assessed the extracted studies according to predefined criteria for inclusion and exclusion. These researchers also independently extracted information regarding gathered data on the sources, samples, measurement methods, primary results, and data related to the main results of the studies that met the inclusion criteria. The quality of the studies was further evaluated using the Physiotherapy Evidence Database scale. Results: This review analyzed 14 studies on using VR technology interventions to improve social skills in children and adolescents with ASD. Our findings indicatethat VR interventions have a positive effect on improving social skills in children and adolescents with ASD. Compared with individuals with low-functioning autism (LFA), those with high-functioning autism (HFA) benefited more from the intervention. The duration and frequency of the intervention may also influence its effectiveness. In addition, immersive VR is more suitable for training complex skills in individuals with HFA. At the same time, nonimmersive VR stands out in terms of lower cost and flexibility, making it more appropriate for basic skill interventions for people with LFA. Finally, while VR technology positively enhances social skills, some studies have reported potential adverse side effects. According to the quality assessment using the Physiotherapy Evidence Database scale, of the 14 studies, 6 (43%) were classified as high quality, 4 (29%) as moderate quality, and 4 (29%) as low quality. Conclusions: This systematic review found that VR technology interventions positively impact social skills in children and adolescents with ASD, with particularly significant effects on the enhancement of complex social skills in individuals with HFA. For children and adolescents with LFA, progress was mainly observed in basic skills. Immersive VR interventions are more suitable for the development of complex skills. At the same time, nonimmersive VR, due to its lower cost and greater flexibility, also holds potential for application in specific contexts. However, the use of VR technology may lead to side effects such as dizziness, eye fatigue, and sensory overload, particularly in immersive settings. These potential issues should be carefully addressed</t>
  </si>
  <si>
    <t>[Yang, Xipeng; Yu, Jingxuan; Cao, Hong; Tang, Yucheng; Ren, Zhanbing] Shenzhen Univ, Coll Phys Educ, 3688 Nanhai Ave Nanshan Dist, Shenzhen 518000, Peoples R China; [Wu, Jinlong] Southwest Univ, Coll Phys Educ, Chongqing, Peoples R China; [Ma, Yudan; Zeng, Aihua] Shanwei Inst Technol, Sch Publ Teaching, Shanwei, Peoples R China; [Fu, Rui] Shenzhen Univ, Dept Educ, Shenzhen, Peoples R China</t>
  </si>
  <si>
    <t>Shenzhen University; Southwest University - China; Shenzhen University</t>
  </si>
  <si>
    <t>Ren, ZB (corresponding author), Shenzhen Univ, Coll Phys Educ, 3688 Nanhai Ave Nanshan Dist, Shenzhen 518000, Peoples R China.</t>
  </si>
  <si>
    <t>rzb@szu.edu.cn</t>
  </si>
  <si>
    <t>Ma, Yudan/AAZ-6095-2021; Tang, Yucheng/AAB-3743-2020; Wu, Jinlong/X-3225-2018; Ren, Zhanbing/AAL-8932-2020</t>
  </si>
  <si>
    <t>Fu, Rui/0009-0004-2957-059X; Wu, Jinlong/0000-0002-0694-3144</t>
  </si>
  <si>
    <t>Special Funding for Key Areas in Biomedicine and Health of Ordinary Colleges and Universities in Guangdong Province [2022ZDZX2086, 2024ZDZX2108]; Humanities and Social Sciences Project of the Chinese Ministry of Education [24YJAZH106]</t>
  </si>
  <si>
    <t>Special Funding for Key Areas in Biomedicine and Health of Ordinary Colleges and Universities in Guangdong Province; Humanities and Social Sciences Project of the Chinese Ministry of Education</t>
  </si>
  <si>
    <t>Acknowledgments This research was supported by the Special Funding for Key Areas in Biomedicine and Health of Ordinary Colleges and Universities in Guangdong Province (2022ZDZX2086; 2024ZDZX2108) and the Humanities and Social Sciences Project of the Chinese Ministry of Education (24YJAZH106) . Meanwhile, we express our sincere gratitude to Dr Zhongtang Wu, who serves in the College of Physical Education at Shenzhen University, for his invaluable technical expertise and assistance, which was paramount to the success of our research.</t>
  </si>
  <si>
    <t>FEB 5</t>
  </si>
  <si>
    <t>10.2196/60845</t>
  </si>
  <si>
    <t>X4D6G</t>
  </si>
  <si>
    <t>WOS:001424878900002</t>
  </si>
  <si>
    <t>Al Kheraif, AA; Adam, TR; Wasi, A; Alhassoun, RK; Haddadi, RM; Alnamlah, M</t>
  </si>
  <si>
    <t>Al Kheraif, Abdulaziz Abdullah; Adam, Tasneem Rashed; Wasi, Aisha; Alhassoun, Raghad Khalid; Haddadi, Rawan Mohammed; Alnamlah, Mohammed</t>
  </si>
  <si>
    <t>Impact of Virtual Reality Intervention on Anxiety and Level of Cooperation in Children and Adolescents with Autism Spectrum Disorder during the Dental Examination</t>
  </si>
  <si>
    <t>autism spectrum disorder; dental anxiety; oral health; oral hygiene; virtual reality</t>
  </si>
  <si>
    <t>BEHAVIOR MANAGEMENT PROBLEMS; AUDIOVISUAL DISTRACTION</t>
  </si>
  <si>
    <t>Background: Individuals with Autism Spectrum Disorder (ASD) frequently encounter increased levels of anxiety and display resistant behaviors during dental examinations, which negatively affects their oral care and maintenance. This study employed a cross-sectional design to evaluate the impact of virtual reality (VR) intervention on the anxiety and level of cooperation in children and adolescents with ASD during dental examinations. Methods: A total of 140 participants diagnosed with ASD, aged from 4- to 18-years-old, were selected from two specialized ASD management centers in Riyadh/Saudi Arabia. The participants were randomly allocated into either the control group or the VR group. Control group participants were subjected to a conventional dental examination, while the VR group utilized VR intervention to immerse themselves in a simulated natural and soothing environment. The Venham anxiety and behavior scale (VABS) was utilized to measure anxiety levels, while the Frankl behavior rating scale (FBRS) was employed to assess the level of cooperation. Data were analyzed using a Mann-Whitney U test with a significance level of p &lt; 0.05. Results: The baseline anxiety and level of cooperation between the groups were comparable (p &gt; 0.05). During the dental examination, the VR group had significantly reduced anxiety scores (2.48 +/- 1.76) compared to the control group (1.50 +/- 1.74) (p &lt; 0.001). Regarding the level of cooperation, the VR group exhibited significantly greater levels of cooperation (3.41 +/- 0.96) than the control group (2.86 +/- 1.03) (p = 0.002). Conclusions: These findings suggest that VR intervention is a successful technique for decreasing anxiety and enhancing cooperation among children with ASD during dental examination. Integrating VR technology in dental environments can potentially improve the dental experience and results for children diagnosed with ASD.</t>
  </si>
  <si>
    <t>[Al Kheraif, Abdulaziz Abdullah; Adam, Tasneem Rashed; Wasi, Aisha; Alhassoun, Raghad Khalid] King Saud Univ, Coll Appl Med Sci, Dent Hlth Dept, Riyadh 11433, Saudi Arabia; [Haddadi, Rawan Mohammed] Princess Nourah Bint Abdulrahman Univ, Feedback Ctr, Riyadh 11564, Saudi Arabia; [Alnamlah, Mohammed] King Fahad Med City, Dept Psychol, Riyadh 12231, Saudi Arabia</t>
  </si>
  <si>
    <t>King Saud University; Princess Nourah bint Abdulrahman University; King Fahad Medical City</t>
  </si>
  <si>
    <t>Al Kheraif, AA (corresponding author), King Saud Univ, Coll Appl Med Sci, Dent Hlth Dept, Riyadh 11433, Saudi Arabia.</t>
  </si>
  <si>
    <t>aalkhuraif@ksu.edu.sa; tasneemr.m94@gmail.com; aishawasi98@hotmail.com; raghadalhassoun11@gmail.com; rawan.hd@hotmail.com; m.namlah@gmail.com</t>
  </si>
  <si>
    <t>Adam, Tasneem/0000-0003-3574-6446</t>
  </si>
  <si>
    <t>King Salman Center for Disability Research; [KSRG-2023-555]</t>
  </si>
  <si>
    <t>King Salman Center for Disability Research(King Salman Centre for Disability Research);</t>
  </si>
  <si>
    <t>The authors extend their appreciation to the King Salman Center for Disability Research for funding this work through Research Group no KSRG-2023-555.</t>
  </si>
  <si>
    <t>10.3390/jcm13206093</t>
  </si>
  <si>
    <t>K2M5R</t>
  </si>
  <si>
    <t>WOS:001342271900001</t>
  </si>
  <si>
    <t>Corey, J; Tsai, JM; Mhadeshwar, A; Srinivasan, S; Bhat, A</t>
  </si>
  <si>
    <t>Corey, J.; Tsai, J. M.; Mhadeshwar, A.; Srinivasan, S.; Bhat, A.</t>
  </si>
  <si>
    <t>Digital motor intervention effects on physical activity performance of individuals with developmental disabilities: a systematic review</t>
  </si>
  <si>
    <t>DISABILITY AND REHABILITATION</t>
  </si>
  <si>
    <t>Physical activity; exergaming; intellectual Disability; developmental Disability; developmental coordination Disorder; Autism Spectrum Disorder; exercise</t>
  </si>
  <si>
    <t>AUTISM SPECTRUM DISORDERS; INTELLECTUAL DISABILITIES; DOWN-SYNDROME; COORDINATION DISORDER; CHILDREN; EXERCISE; FITNESS; YOUTH; ADULTS; ADOLESCENTS</t>
  </si>
  <si>
    <t>PurposePost-pandemic, use of digital technologies (e.g., mobile app, Zoom, virtual reality, and videogaming) to promote physical activity (PA) in populations with intellectual and developmental disabilities (IDD) has increased. The efficacy of various digital technologies in promoting PA in individuals with IDD varies. We conducted a systematic review to examine current literature findings on the efficacy of digital PA interventions on PA outcomes in individuals with IDD.MethodsArticles published between 1900 and 2024 that examined effects of technology-based PA interventions on PA levels/fitness of individuals with IDD using experimental or quasi-experimental study designs were included. Sixteen articles were retrieved from four health databases PubMed (914), PsycInfo (1201), SCOPUS (1910), and CINAHL (948).ResultsFindings based on 604 participants (Autism: 383; Down Syndrome: 106; Developmental Disability: 83, Developmental Coordination Disorder: 37) provide the most support for exergaming/digital PA intervention benefits for populations with ID, Down Syndrome, and Autism; however, there was limited support for its use in those without ID (e.g., DCD).ConclusionDigital technology is an effective tool to promote improvements in PA/fitness, motor, cardiovascular performance in individuals with ID. Future studies need to build on this evidence to support the use of PA outcomes in individuals with different IDD diagnoses. Individuals with intellectual and developmental disabilities (IDD) are more physically inactive compared to peers without IDD.Exercise and physical activity are effective modalities to improve health and well-being of individuals with IDD.Exergaming/digital technologies are a promising option to promote physical activity in individuals with IDD, specifically, in children with Down Syndrome and Autism Spectrum Disorder.This is the first review comparing effects of exergaming/digital technologies on physical activity outcomes of individuals with and without intellectual disabilities.</t>
  </si>
  <si>
    <t>[Corey, J.; Bhat, A.] Univ Delaware, Biomech &amp; Movement Sci Program, Newark, DE USA; [Corey, J.; Tsai, J. M.; Mhadeshwar, A.; Bhat, A.] Univ Delaware, Phys Therapy Dept, Newark, DE USA; [Tsai, J. M.; Bhat, A.] Univ Delaware, Interdisciplinary Neurosci Grad Program, Psychol &amp; Brain Sci, Newark, DE USA; [Srinivasan, S.] Univ Connecticut, Dept Kinesiol, Phys Therapy Program, Storrs, CT USA; [Srinivasan, S.] Univ Connecticut, Inst Collaborat Hlth Intervent &amp; Policy InCHIP, Storrs, CT USA; [Srinivasan, S.] Univ Connecticut, Connecticut Inst Brain &amp; Cognit Sci IBACS, Storrs, CT USA</t>
  </si>
  <si>
    <t>University of Delaware; University of Delaware; University of Delaware; University of Connecticut; University of Connecticut; University of Connecticut</t>
  </si>
  <si>
    <t>Bhat, A (corresponding author), Univ Delaware, Phys Therapy, Newark, DE 19713 USA.</t>
  </si>
  <si>
    <t>abhat@udel.edu</t>
  </si>
  <si>
    <t>Bhat, Anjana/AAX-8869-2021</t>
  </si>
  <si>
    <t>T32 award - Predoctoral Training in Physical Therapy and Rehabilitation Research [T32HD007490]; UConn Foundation; Maggie Newmann Health Sciences Fund; Delaware Biotechnology Institute's Applied Research Competition funds; Delaware INBRE grant from the National Institute of General Medical Sciences [P20 GM103446]</t>
  </si>
  <si>
    <t>T32 award - Predoctoral Training in Physical Therapy and Rehabilitation Research; UConn Foundation; Maggie Newmann Health Sciences Fund; Delaware Biotechnology Institute's Applied Research Competition funds; Delaware INBRE grant from the National Institute of General Medical Sciences</t>
  </si>
  <si>
    <t>The first author's effort on this project was supported by a T32 award - Predoctoral Training in Physical Therapy and Rehabilitation Research awarded to trainee, Jacob Corey [Grant#: T32HD007490, PI: Reisman]. SS's effort on this project was supported by a Research excellence Award from the UConn Foundation (PI: Srinivasan). AB's effort on this grant was supported by the Maggie Newmann Health Sciences Fund, the Delaware Biotechnology Institute's Applied Research Competition funds (PI: Bhat), and the Delaware INBRE grant from the National Institute of General Medical Sciences [Grant #: P20 GM103446 &amp; Delaware State Funds (PI: Duncan).</t>
  </si>
  <si>
    <t>0963-8288</t>
  </si>
  <si>
    <t>1464-5165</t>
  </si>
  <si>
    <t>DISABIL REHABIL</t>
  </si>
  <si>
    <t>Disabil. Rehabil.</t>
  </si>
  <si>
    <t>2024 SEP 3</t>
  </si>
  <si>
    <t>10.1080/09638288.2024.2398148</t>
  </si>
  <si>
    <t>E6U4X</t>
  </si>
  <si>
    <t>WOS:001304336500001</t>
  </si>
  <si>
    <t>Abd El-Sattar, HKH</t>
  </si>
  <si>
    <t>Abd El-Sattar, Hussein Karam Hussein</t>
  </si>
  <si>
    <t>Future metaverse-based education to promote daily living activities in learners with autism using immersive technologies</t>
  </si>
  <si>
    <t>Immersive Technologies; Special-needs education; Autism; VR; AR; Serious games; Metaverse; Participatory Research</t>
  </si>
  <si>
    <t>VIRTUAL-REALITY; ENGAGEMENT; ACCEPTANCE; DESIGN</t>
  </si>
  <si>
    <t>Daily living activities (DLAs) are crucial for people with autism spectrum disorder (ASD). Immersive learning technologies (ILTs), such as virtual reality (VR), augmented reality (AR), serious games (SGs), and the metaverse, are emerging and expanding globally as a result of the COVID-19 pandemic. In the virtual world, metaverse technology is developing and becoming a new global trend. Because every child has different abilities and needs that change over time, it can be difficult for designers to include children with ASD in the technology design process. A literature review indicates that no research has specifically examined the use of ILTs in special-needs education to promote DLAs in learners with autism. This study is one of the few that examines this topic, taking into account autism's sensory issues. Through a series of participatory sessions and a design thinking process, a new participatory research framework is proposed that views education as a cooperative process with aims that go beyond knowledge creation to practical and future innovative visions of special-needs education applications. The framework was employed in case-based learning research to promote DLAs for people with autism through the use of three modules represented as serious games. These modules investigate the viability of establishing a virtual presence in the metaverse with cooperative VR and AR technologies. Future applications of the metaverse to help autistic people promote their DLAs were one of four research questions that were examined. The data was analyzed using mixed-methods research. A variety of usability metrics, including the technology acceptance model (TAM), were used to assess effectiveness, efficiency, and satisfaction aspects. Our results demonstrate that using ILTs undoubtedly creates a fun, effective, and promising learning environment that encourages lifelong learning for people with autism.</t>
  </si>
  <si>
    <t>[Abd El-Sattar, Hussein Karam Hussein] Ain Shams Univ, Dept Math, Fac Sci, Comp Sci Div, Cairo 11566, Egypt</t>
  </si>
  <si>
    <t>Egyptian Knowledge Bank (EKB); Ain Shams University</t>
  </si>
  <si>
    <t>Abd El-Sattar, HKH (corresponding author), Ain Shams Univ, Dept Math, Fac Sci, Comp Sci Div, Cairo 11566, Egypt.</t>
  </si>
  <si>
    <t>h_karam@sci.asu.edu.eg</t>
  </si>
  <si>
    <t>10.1007/s10639-024-12844-3</t>
  </si>
  <si>
    <t>Y8T4Z</t>
  </si>
  <si>
    <t>WOS:001287482600001</t>
  </si>
  <si>
    <t>Gayle, RI; Valentino, AL; Fuhrman, AM</t>
  </si>
  <si>
    <t>Gayle, Roxanne I.; Valentino, Amber L.; Fuhrman, Ashley M.</t>
  </si>
  <si>
    <t>Virtual Reality Training of Safety and Social Communication Skills in Children with Autism: An Examination of Acceptability, Usability, and Generalization</t>
  </si>
  <si>
    <t>BEHAVIOR ANALYSIS IN PRACTICE</t>
  </si>
  <si>
    <t>Emerging technologies; Treatment package; Virtual reality; Social skills; Safety skills</t>
  </si>
  <si>
    <t>ADOLESCENTS</t>
  </si>
  <si>
    <t>Individuals with autism spectrum disorder (ASD) can struggle to acquire social, communication, and safety skills. Many of these skills can be targeted in individualized behavior analytic instruction. However, some skills can be challenging to teach given the difficulties associated with reconstructing a real-world scenario within a learning session. Virtual reality (VR) has emerged as a promising technology that can help people with ASD practice these types of skills in an immersive environment. VR is an emerging technology, and more research is needed to determine its efficacy as well as its impact on variables such as client indices of happiness and social validity. In this study, we successfully taught three children with ASD three different skills using a VR treatment package that consisted of VR, prompts, and reinforcement. Prior to teaching these skills, we included a cooperation phase with the intent to increase acceptance of VR equipment as needed. We found that each of the three participants accepted the equipment and VR sessions without the need for additional training. In all cases, the skills the participants acquired in the VR platform were maintained and generalized to the natural environment. Participants demonstrated indices of happiness when engaged with the VR software and parents and clinical staff ranked the VR software positively. Results are discussed in terms of the use of the VR treatment package in intervention and future research for similar technologies.</t>
  </si>
  <si>
    <t>[Gayle, Roxanne I.; Valentino, Amber L.; Fuhrman, Ashley M.] Trumpet Behav Hlth, Lakewood, CO 80215 USA</t>
  </si>
  <si>
    <t>Valentino, AL (corresponding author), Trumpet Behav Hlth, Lakewood, CO 80215 USA.</t>
  </si>
  <si>
    <t>Amber.valentino2@gmail.com</t>
  </si>
  <si>
    <t>1998-1929</t>
  </si>
  <si>
    <t>2196-8934</t>
  </si>
  <si>
    <t>BEHAV ANAL PRACT</t>
  </si>
  <si>
    <t>Behav. Anal. Pract.</t>
  </si>
  <si>
    <t>10.1007/s40617-024-00968-4</t>
  </si>
  <si>
    <t>JUL 2024</t>
  </si>
  <si>
    <t>0BN0F</t>
  </si>
  <si>
    <t>WOS:001275433400001</t>
  </si>
  <si>
    <t>Soltiyeva, A; Oliveira, W; Alimanova, M; Hamari, J; Kansarovna, KG; Adilkhan, S; Urmanov, M</t>
  </si>
  <si>
    <t>Soltiyeva, Aiganym; Oliveira, Wilk; Alimanova, Madina; Hamari, Juho; Kansarovna, Kudaibergenova Gulzhan; Adilkhan, Shyngys; Urmanov, Marat</t>
  </si>
  <si>
    <t>Understanding experiences and interactions of children with Asperger's syndrome in Virtual Reality-based learning systems</t>
  </si>
  <si>
    <t>Asperger's syndrome; Autism Spectrum Disorder; virtual reality; social interaction; learning technologies</t>
  </si>
  <si>
    <t>SPECTRUM DISORDERS; SOCIAL-INTERACTION; AUTISM; ENVIRONMENTS; STUDENTS; PEOPLE</t>
  </si>
  <si>
    <t>Asperger's syndrome is part of the large group of Autism Spectrum Disorders. Children with Asperger's syndrome suffer from communication difficulties, which leads to disabilities related to social skills and learning. One of the novel suggested approaches to help in their social interaction and learning has been the use of Virtual Reality environments. Following this path, in this long-term study, we explored the social interaction and communication of children with Asperger's syndrome within a Virtual Reality-based learning system. Children with Asperger's syndrome used the system in a controlled environment for three months. By conducting a qualitative study based on Constructivist Grounded Theory methods and the Experimental Analysis of Behavior, involving the children, their teachers and mental health experts, we perceived that after initially demonstrating discomfort with the system's characters, children interacted with the characters of the VR system, facing their communication difficulties, and expressing emotional states (e.g. fear, shyness, and probable suicidal desire). Based on the results, we provide novel insights related to the perception of children with Asperger's syndrome regarding the use of Virtual Reality-based learning systems.</t>
  </si>
  <si>
    <t>[Soltiyeva, Aiganym; Alimanova, Madina; Adilkhan, Shyngys; Urmanov, Marat] SDU Univ, Fac Engn &amp; Nat Sci, Kaskelen, Kazakhstan; [Oliveira, Wilk; Hamari, Juho] Tampere Univ, Fac Informat Technol &amp; Commun Sci, Gamificat Grp, Tampere, Finland; [Kansarovna, Kudaibergenova Gulzhan] TURAN Univ, Fac Humanities &amp; Law, Alma Ata, Kazakhstan</t>
  </si>
  <si>
    <t>Tampere University; Turan University</t>
  </si>
  <si>
    <t>Oliveira, W (corresponding author), Tampere Univ, Fac Informat Technol &amp; Commun Sci, Gamificat Grp, Tampere, Finland.</t>
  </si>
  <si>
    <t>wilk.oliveira@tuni.fi</t>
  </si>
  <si>
    <t>Soltiyeva, Aiganym/IAQ-3401-2023; Oliveira, Wilk/ABB-1063-2021; Hamari, Juho/E-4989-2016; Urmanov, Marat/JMB-2987-2023; Alimanova, Madina/P-7530-2017</t>
  </si>
  <si>
    <t>Alimanova, Madina/0000-0002-7282-0820; Soltiyeva, Aiganym/0000-0002-8178-6871</t>
  </si>
  <si>
    <t>This work has been supported by Suleyman Demirel University Internal Research Funding. This work has been supported by the Academy of Finland Flagship Programme [grant number 337653 - Forest-Human-Machine Interplay (UNITE)].</t>
  </si>
  <si>
    <t>FEB 7</t>
  </si>
  <si>
    <t>10.1080/10494820.2024.2364250</t>
  </si>
  <si>
    <t>0NY6H</t>
  </si>
  <si>
    <t>WOS:001259245200001</t>
  </si>
  <si>
    <t>Marquez, G; Pacheco, M; Astudillo, H; Taramasco, C; Calvo, E</t>
  </si>
  <si>
    <t>Marquez, Gaston; Pacheco, Michelle; Astudillo, Hernan; Taramasco, Carla; Calvo, Esteban</t>
  </si>
  <si>
    <t>Inclusion of individuals with autism spectrum disorder in Software Engineering</t>
  </si>
  <si>
    <t>INFORMATION AND SOFTWARE TECHNOLOGY</t>
  </si>
  <si>
    <t>Autism spectrum disorders; Systematic multivocal mapping study; Software engineering</t>
  </si>
  <si>
    <t>COMPUTATIONAL THINKING; ADOLESCENTS; GUIDELINES; SKILLS</t>
  </si>
  <si>
    <t>Context: Software Engineering is dedicated to the systematic and efficient development of software, which necessitates the active participation of all team members and a recognition of their unique skills and abilities, including those with autism spectrum disorders (ASD). The inclusion of individuals with ASD presents new perspectives, yet there is a lack of systematic evidence regarding the primary obstacles and potential benefits associated with their inclusion. Objective: This paper aims to identify, characterize, and describe barriers, facilitators, and methodological proposals described by the community to include individuals with ASD in the discipline of Software Engineering. Methods: We conducted a comprehensive systematic multivocal mapping study to evaluate the existing evidence on the inclusion of individuals with ASD in Software Engineering. Results: We obtained 34 primary studies from which we identified the main facilitators of motivation to learn new skills, attention to detail, and the ability to report and visualize patterns. In contrast, the main barriers detected were communication, a lack of neurodivergent computational thinking, and sensory integration. Additionally, we identified and classified four categories of proposals that allowed the inclusion of individuals with ASD: (i) using virtual reality, (ii) creating more inclusive workspaces, (iii) encouraging neurodivergent computational thinking, and (iv) improving social skills. Conclusions: This study identifies the principal elements that ought to be taken into consideration when allocating tasks and roles to individuals with ASD in software development.</t>
  </si>
  <si>
    <t>[Marquez, Gaston] Univ Bio Bio, Dept Ciencias Comp &amp; Tecnol Informac, Ave Andres Bello 720, Chillan 3780000, Nuble, Chile; [Pacheco, Michelle; Astudillo, Hernan; Taramasco, Carla] Inst Tecnol Innovac Salud &amp; Bienestar, Calle 1 Oriente 1180, Vina Del Mar 2520000, Valparaiso, Chile; [Astudillo, Hernan] Univ Tecn Federico Santa Maria, Dept Informat, Ave Espana 1680, Valparaiso 2340000, Chile; [Taramasco, Carla; Calvo, Esteban] Nucleo Milenio Sociomed, Santiago 8320000, Chile; [Calvo, Esteban] Univ Mayor, Escuela Psicol, Fac Ciencias Sociales &amp; Artes, Ctr Invest Soc &amp; Salud, Manuel Montt 367, Santiago 8320000, Chile</t>
  </si>
  <si>
    <t>Universidad del Bio-Bio; Universidad Tecnica Federico Santa Maria; Universidad Mayor</t>
  </si>
  <si>
    <t>Marquez, G (corresponding author), Univ Bio Bio, Dept Ciencias Comp &amp; Tecnol Informac, Ave Andres Bello 720, Chillan 3780000, Nuble, Chile.</t>
  </si>
  <si>
    <t>gmarquez@ubiobio.cl</t>
  </si>
  <si>
    <t>Taramasco, Carla/AHC-8247-2022; Marquez, Gaston/AAK-9416-2020; Astudillo, Hernan/B-7521-2012</t>
  </si>
  <si>
    <t>Astudillo, Hernan/0000-0002-6487-5813; Marquez, Gaston/0000-0003-0167-5969</t>
  </si>
  <si>
    <t>Millennium Nucleus on Sociomedicine, Chile [ANID-MILENIO-NCS2021_013]</t>
  </si>
  <si>
    <t>Millennium Nucleus on Sociomedicine, Chile</t>
  </si>
  <si>
    <t>We wish to thank the Millennium Nucleus on Sociomedicine, Chile (ANID-MILENIO-NCS2021_013) for supporting this study.</t>
  </si>
  <si>
    <t>0950-5849</t>
  </si>
  <si>
    <t>1873-6025</t>
  </si>
  <si>
    <t>INFORM SOFTWARE TECH</t>
  </si>
  <si>
    <t>Inf. Softw. Technol.</t>
  </si>
  <si>
    <t>10.1016/j.infsof.2024.107434</t>
  </si>
  <si>
    <t>Computer Science, Information Systems; Computer Science, Software Engineering</t>
  </si>
  <si>
    <t>QA0V7</t>
  </si>
  <si>
    <t>WOS:001218052200001</t>
  </si>
  <si>
    <t>Koniou, I; Douard, E; Lanovaz, MJ</t>
  </si>
  <si>
    <t>Koniou, Ioulia; Douard, Elise; Lanovaz, Marc J.</t>
  </si>
  <si>
    <t>Brief Report: Virtual Reality to Raise Awareness About Autism</t>
  </si>
  <si>
    <t>Autism; Awareness; Stigmatization; Virtual Reality</t>
  </si>
  <si>
    <t>ATTITUDES; SPECTRUM; VALIDATION; CHILDREN; STIGMA; IMPACT; SCALE</t>
  </si>
  <si>
    <t>PurposeThe purpose of the study was to develop and test a virtual reality application designed to put the participants in the shoes of an autistic person during a routine task.MethodThe study involved a randomized controlled trial that included 103 participants recruited from a technical college. Each participant responded to three questionnaires to measure attitudes, knowledge, and openness toward autism. Prior to responding to these questionnaires, the participants in the experimental group also completed an 8-min virtual reality simulation designed by the research team in collaboration with autistic individuals.ResultsThe participants who completed the virtual reality simulation reported better attitudes, more knowledge, and higher openness toward autism than the participants in the control group.ConclusionThe results of the study suggest that virtual reality simulations are promising tools to raise awareness about autism.</t>
  </si>
  <si>
    <t>[Koniou, Ioulia; Douard, Elise; Lanovaz, Marc J.] Univ Montreal, Ecole Psychoeduc, POB 6128,Downtown Stn, Montreal, PQ H3C 3J7, Canada; [Koniou, Ioulia; Douard, Elise; Lanovaz, Marc J.] Inst Univ Sante Mentale Montreal, Ctr Rech, Montreal, PQ, Canada</t>
  </si>
  <si>
    <t>Universite de Montreal; Universite de Montreal</t>
  </si>
  <si>
    <t>Lanovaz, MJ (corresponding author), Univ Montreal, Ecole Psychoeduc, POB 6128,Downtown Stn, Montreal, PQ H3C 3J7, Canada.;Lanovaz, MJ (corresponding author), Inst Univ Sante Mentale Montreal, Ctr Rech, Montreal, PQ, Canada.</t>
  </si>
  <si>
    <t>marc.lanovaz@umontreal.ca</t>
  </si>
  <si>
    <t>Lanovaz, Marc/K-9614-2019</t>
  </si>
  <si>
    <t>Fonds de recherche du Quebec - Sante [269462]; Fondation de l'Institut universitaire en sante mentale de Montreal; Reseau national d'expertise en troubles du spectre de l'autisme</t>
  </si>
  <si>
    <t>Fonds de recherche du Quebec - Sante(Fonds de recherche du Quebec (FRQ)); Fondation de l'Institut universitaire en sante mentale de Montreal; Reseau national d'expertise en troubles du spectre de l'autisme</t>
  </si>
  <si>
    <t>This study was supported in part by a salary award from the Fonds de recherche du Quebec - Sante (#269462) as well as grants from the Fondation de l'Institut universitaire en sante mentale de Montreal and the Reseau national d'expertise en troubles du spectre de l'autisme to the third author.</t>
  </si>
  <si>
    <t>2023 DEC 11</t>
  </si>
  <si>
    <t>10.1007/s10803-023-06216-y</t>
  </si>
  <si>
    <t>DEC 2023</t>
  </si>
  <si>
    <t>AR7L5</t>
  </si>
  <si>
    <t>hybrid, Green Submitted</t>
  </si>
  <si>
    <t>WOS:001120251200002</t>
  </si>
  <si>
    <t>Caruana, N; Nalepka, P; Perez, GA; Inkley, C; Munro, C; Rapaport, H; Brett, S; Kaplan, DM; Richardson, MJ; Pellicano, E</t>
  </si>
  <si>
    <t>Caruana, Nathan; Nalepka, Patrick; Perez, Glicyr A.; Inkley, Christine; Munro, Courtney; Rapaport, Hannah; Brett, Simon; Kaplan, David M.; Richardson, Michael J.; Pellicano, Elizabeth</t>
  </si>
  <si>
    <t>Autistic young people adaptively use gaze to facilitate joint attention during multi-gestural dyadic interactions</t>
  </si>
  <si>
    <t>eye contact; gaze; non-verbal communication; social interaction; virtual reality</t>
  </si>
  <si>
    <t>EYE; CHILDREN; SPECTRUM; COORDINATION; HYPOTHESIS; PATTERNS; LANGUAGE; COMMON; FACES; HEAD</t>
  </si>
  <si>
    <t>Autistic people often experience difficulties navigating face-to-face social interactions. Historically, the empirical literature has characterised these difficulties as cognitive 'deficits' in social information processing. However, the empirical basis for such claims is lacking, with most studies failing to capture the complexity of social interactions, often distilling them into singular communicative modalities (e.g. gaze-based communication) that are rarely used in isolation in daily interactions. The current study examined how gaze was used in concert with communicative hand gestures during joint attention interactions. We employed an immersive virtual reality paradigm, where autistic (n = 22) and non-autistic (n = 22) young people completed a collaborative task with a non-autistic confederate. Integrated eye-, head- and hand-motion-tracking enabled dyads to communicate naturally with each other while offering objective measures of attention and behaviour. Autistic people in our sample were similarly, if not more, effective in responding to hand-cued joint attention bids compared with non-autistic people. Moreover, both autistic and non-autistic people demonstrated an ability to adaptively use gaze information to aid coordination. Our findings suggest that the intersecting fields of autism and social neuroscience research may have overstated the role of eye gaze during coordinated social interactions. Lay abstract Autistic people have been said to have 'problems' with joint attention, that is, looking where someone else is looking. Past studies of joint attention have used tasks that require autistic people to continuously look at and respond to eye-gaze cues. But joint attention can also be done using other social cues, like pointing. This study looked at whether autistic and non-autistic young people use another person's eye gaze during joint attention in a task that did not require them to look at their partner's face. In the task, each participant worked together with their partner to find a computer-generated object in virtual reality. Sometimes the participant had to help guide their partner to the object, and other times, they followed their partner's lead. Participants were told to point to guide one another but were not told to use eye gaze. Both autistic and non-autistic participants often looked at their partner's face during joint attention interactions and were faster to respond to their partner's hand-pointing when the partner also looked at the object before pointing. This shows that autistic people can and do use information from another person's eyes, even when they don't have to. It is possible that, by not forcing autistic young people to look at their partner's face and eyes, they were better able to gather information from their partner's face when needed, without being overwhelmed. This shows how important it is to design tasks that provide autistic people with opportunities to show what they can do.</t>
  </si>
  <si>
    <t>[Caruana, Nathan; Nalepka, Patrick; Perez, Glicyr A.; Inkley, Christine; Munro, Courtney; Brett, Simon; Kaplan, David M.; Richardson, Michael J.; Pellicano, Elizabeth] Macquarie Univ, Sydney, Australia; [Rapaport, Hannah] Univ Cambridge, Cambridge, England; [Pellicano, Elizabeth] UCL, London, England; [Caruana, Nathan] Macquarie Univ, Sch Psychol Sci, 16 Univ Ave, Sydney, NSW 2109, Australia</t>
  </si>
  <si>
    <t>Macquarie University; University of Cambridge; University of London; University College London; Macquarie University</t>
  </si>
  <si>
    <t>Caruana, N (corresponding author), Macquarie Univ, Sch Psychol Sci, 16 Univ Ave, Sydney, NSW 2109, Australia.</t>
  </si>
  <si>
    <t>Cleary, Michelle/E-9742-2013; Pellicano, Liz/I-5749-2019</t>
  </si>
  <si>
    <t>Nalepka, Patrick/0000-0003-1719-8044; Brett, Simon/0000-0002-2300-9396; Rapaport, Hannah/0000-0001-5666-5966; Kaplan, David/0000-0001-7532-1114; Caruana, Nathan/0000-0002-9676-814X</t>
  </si>
  <si>
    <t>Macquarie University Research Fellowships awarded; ARC Centre of Excellence for Cognition and its Disorders [CE110001021]; Australia Research Council Future Fellowships awarded [FT180100447, FT190100077]</t>
  </si>
  <si>
    <t>Macquarie University Research Fellowships awarded; ARC Centre of Excellence for Cognition and its Disorders(Australian Research Council); Australia Research Council Future Fellowships awarded</t>
  </si>
  <si>
    <t>The author(s) disclosed receipt of the following financial support for the research, authorship, and/or publication of this article: This project was supported, in part, by Macquarie University Research Fellowships awarded to N.C. and P.N., a 'CCD Legacy Grant' from the ARC Centre of Excellence for Cognition and its Disorders (CE110001021), awarded to N.C., P.N., D.M.K., M.J.R. and E.P., Australia Research Council Future Fellowships awarded to M.J.R. (FT180100447) and E.P. (FT190100077)</t>
  </si>
  <si>
    <t>10.1177/13623613231211967</t>
  </si>
  <si>
    <t>SJ5N0</t>
  </si>
  <si>
    <t>Green Published, hybrid, Green Accepted</t>
  </si>
  <si>
    <t>WOS:001120773800001</t>
  </si>
  <si>
    <t>Al-Hendawi, M; Hussein, E; Al Ghafri, B; Bulut, S</t>
  </si>
  <si>
    <t>Al-Hendawi, Maha; Hussein, Esraa; Al Ghafri, Badriya; Bulut, Sefa</t>
  </si>
  <si>
    <t>A Scoping Review of Studies on Assistive Technology Interventions and Their Impact on Individuals with Autism Spectrum Disorder in Arab Countries</t>
  </si>
  <si>
    <t>autism spectrum disorder; assistive technology; Arab countries; scoping review</t>
  </si>
  <si>
    <t>CHILDREN; EPIDEMIOLOGY; SKILLS</t>
  </si>
  <si>
    <t>The rising prevalence of autism spectrum disorder (ASD) in Arab countries necessitates evidence-based interventions. Assistive technology (AT) presents a promising approach. However, data on the pervasiveness of AT use and its effectiveness for individuals with ASD, specifically within Arab countries, remain scarce. Objective: To review the current literature on the AT interventions and outcomes reported for individuals with ASD in Arab countries. Methods: A scoping review adhering to PRISMA guidelines was undertaken to explore the utilization of AT, segmented into three categories: low-technology (low-tech), mid-technology (mid-tech), and high-technology (high-tech) devices. Results: Twelve studies had a pooled sample of 1547 participants, primarily male school-aged children with ASD. The AT applications evaluated ranged from low-tech visual schedules and support to high-tech virtual reality systems. Studies have reported the potential benefits of AT in improving communication, social, academic, adaptive, and functional abilities; however, comparative evidence between AT interventions is limited. The identified barriers to the adoption of AT included caregiver uncertainty about the use of AT and a lack of awareness of AT among professionals and the Arab community in general. Conclusion: Available studies suggest that the adoption of AT can enhance the skills of individuals with ASD in Arab countries. However, more rigorous studies across diverse demographic groups and Arab national regions are needed to strengthen the evidence base and provide appropriate recommendations.</t>
  </si>
  <si>
    <t>[Al-Hendawi, Maha; Hussein, Esraa; Al Ghafri, Badriya] Qatar Univ, Coll Educ, Dept Psychol Sci, POB 2713, Doha, Qatar; [Bulut, Sefa] Ibn Haldun Univ, Sch Educ, Dept Counseling Psychol, TR-34494 Istanbul, Turkiye</t>
  </si>
  <si>
    <t>Qatar University; Ibn Haldun University</t>
  </si>
  <si>
    <t>Al-Hendawi, M (corresponding author), Qatar Univ, Coll Educ, Dept Psychol Sci, POB 2713, Doha, Qatar.</t>
  </si>
  <si>
    <t>maha.alhendawi@qu.edu.qa; esraa.mohamed@qu.edu.qa; badriya.alghafri96@outlook.com; sefa.bulut@ihu.edu.tr</t>
  </si>
  <si>
    <t>bulut, sefa/S-6216-2017</t>
  </si>
  <si>
    <t>bulut, sefa/0000-0002-2622-4390; Al-Hendawi, Maha/0000-0001-9280-9357</t>
  </si>
  <si>
    <t>Qatar University</t>
  </si>
  <si>
    <t>Qatar University(Qatar UniversityQatar National Research Fund (QNRF))</t>
  </si>
  <si>
    <t>10.3390/children10111828</t>
  </si>
  <si>
    <t>AQ0H4</t>
  </si>
  <si>
    <t>WOS:001119804800001</t>
  </si>
  <si>
    <t>Sanku, BS; Li, Y; Jung, SC; Mei, C; He, J</t>
  </si>
  <si>
    <t>Sanku, Bhavya Sri; Li, Yi (Joy); Jung, Sungchul; Mei, Chao; He, Jing (Selena)</t>
  </si>
  <si>
    <t>Enhancing attention in autism spectrum disorder: comparative analysis of virtual reality-based training programs using physiological data</t>
  </si>
  <si>
    <t>FRONTIERS IN COMPUTER SCIENCE</t>
  </si>
  <si>
    <t>attention; autism spectrum disorder; attention deficit disorder; virtual reality; physiological data</t>
  </si>
  <si>
    <t>DEFICIT/HYPERACTIVITY DISORDER; AUGMENTED REALITY; THETA/BETA RATIO; BRAIN; EEG; DESIGN; SYSTEM</t>
  </si>
  <si>
    <t>BackgroundThe ability to maintain attention is crucial for achieving success in various aspects of life, including academic pursuits, career advancement, and social interactions. Attention deficit disorder (ADD) is a common symptom associated with autism spectrum disorder (ASD), which can pose challenges for individuals affected by it, impacting their social interactions and learning abilities. To address this issue, virtual reality (VR) has emerged as a promising tool for attention training with the ability to create personalized virtual worlds, providing a conducive platform for attention-focused interventions. Furthermore, leveraging physiological data can be instrumental in the development and enhancement of attention-training techniques for individuals.MethodsIn our preliminary study, a functional prototype for attention therapy systems was developed. In the current phase, the objective is to create a framework called VR-PDA (Virtual Reality Physiological Data Analysis) that utilizes physiological data for tracking and improving attention in individuals. Four distinct training strategies such as noise, score, object opacity, and red vignette are implemented in this framework. The primary goal is to leverage virtual reality technology and physiological data analysis to enhance attentional capabilities.ResultsOur data analysis results revealed that reinforcement training strategies are crucial for improving attention in individuals with ASD, while they are not significant for non-autistic individuals. Among all the different strategies employed, the noise strategy demonstrates superior efficacy in training attention among individuals with ASD. On the other hand, for Non-ASD individuals, no specific training proves to be effective in enhancing attention. The total gazing time feature exhibited benefits for participants with and without ASD.DiscussionThe results consistently demonstrated favorable outcomes for both groups, indicating an enhanced level of attentiveness. These findings provide valuable insights into the effectiveness of different strategies for attention training and emphasize the potential of virtual reality (VR) and physiological data in attention training programs for individuals with ASD. The results of this study open up new avenues for further research and inspire future developments.</t>
  </si>
  <si>
    <t>[Sanku, Bhavya Sri; Li, Yi (Joy); He, Jing (Selena)] Kennesaw State Univ, Dept Comp Sci, Kennesaw, GA 30144 USA; [Jung, Sungchul] Kennesaw State Univ, Dept Software Engn &amp; Game Dev, Kennesaw, GA USA; [Mei, Chao] TCL Rayneo XR, Shenzhen, Peoples R China</t>
  </si>
  <si>
    <t>University System of Georgia; Kennesaw State University; University System of Georgia; Kennesaw State University</t>
  </si>
  <si>
    <t>Li, Y (corresponding author), Kennesaw State Univ, Dept Comp Sci, Kennesaw, GA 30144 USA.</t>
  </si>
  <si>
    <t>joy.li@kennesaw.edu</t>
  </si>
  <si>
    <t>This work was partly supported by the National Science Foundation (NSF) under Grants CNS-2244450 and IIS-1850438. [CNS-2244450, IIS-1850438]; National Science Foundation (NSF)</t>
  </si>
  <si>
    <t>This work was partly supported by the National Science Foundation (NSF) under Grants CNS-2244450 and IIS-1850438.(National Science Foundation (NSF)); National Science Foundation (NSF)(National Science Foundation (NSF))</t>
  </si>
  <si>
    <t>This work was partly supported by the National Science Foundation (NSF) under Grants CNS-2244450 and IIS-1850438.</t>
  </si>
  <si>
    <t>2624-9898</t>
  </si>
  <si>
    <t>FRONT COMP SCI-SWITZ</t>
  </si>
  <si>
    <t>Front. Comput. Sci.-Switz</t>
  </si>
  <si>
    <t>SEP 28</t>
  </si>
  <si>
    <t>10.3389/fcomp.2023.1250652</t>
  </si>
  <si>
    <t>T9ON8</t>
  </si>
  <si>
    <t>WOS:001081206400001</t>
  </si>
  <si>
    <t>MacCormack, JWH; Kilmer, ED</t>
  </si>
  <si>
    <t>MacCormack, Jeffrey W. H.; Kilmer, Elizabeth D.</t>
  </si>
  <si>
    <t>Review of the roles of materials, permissiveness, and structure in play-based social interventions for autistic youth</t>
  </si>
  <si>
    <t>INTERNATIONAL JOURNAL OF PLAY</t>
  </si>
  <si>
    <t>Play-based learning; interventions; autism spectrum disorder; social competence</t>
  </si>
  <si>
    <t>SPECTRUM DISORDERS; YOUNG-CHILDREN; SCHOOL; SKILLS; THERAPY; PRETEND</t>
  </si>
  <si>
    <t>For youth on the autism spectrum, play offers rich opportunities for the development of social competence. Play-based activities are well suited for social skills interventions because the structure of the game play can easily incorporate the youths' interests and can be designed to mimic social rules. Despite the wealth of literature on the topic of play-based learning, it is not clear how play factors such as play materials (toys, objects, imaginative spaces), permissiveness (player autonomy), and structure (role-based play, interaction rules) contribute to skill development. This paper reviews the literature on play-based social interventions and will compare three play-based approaches based on materials, permissiveness, and structure: (a) LEGO-therapy, (b) virtual environment social program, and (c) therapeutically applied role-playing games. Implications of the results for practitioners and researchers are discussed.</t>
  </si>
  <si>
    <t>[MacCormack, Jeffrey W. H.] Univ Lethbridge, Fac Educ, Lethbridge, AB, Canada; [Kilmer, Elizabeth D.] Game Grow Org, Kirkland, WA USA; [MacCormack, Jeffrey W. H.] 4401 Univ Dr West, Lethbridge, AB T1K 3M4, Canada</t>
  </si>
  <si>
    <t>University of Lethbridge</t>
  </si>
  <si>
    <t>MacCormack, JWH (corresponding author), 4401 Univ Dr West, Lethbridge, AB T1K 3M4, Canada.</t>
  </si>
  <si>
    <t>jeffrey.maccormack@uleth.ca</t>
  </si>
  <si>
    <t>2159-4937</t>
  </si>
  <si>
    <t>2159-4953</t>
  </si>
  <si>
    <t>INT J PLAY</t>
  </si>
  <si>
    <t>Int. J. Play</t>
  </si>
  <si>
    <t>10.1080/21594937.2022.2152534</t>
  </si>
  <si>
    <t>Education &amp; Educational Research; Psychology, Multidisciplinary; Social Sciences, Interdisciplinary</t>
  </si>
  <si>
    <t>Education &amp; Educational Research; Psychology; Social Sciences - Other Topics</t>
  </si>
  <si>
    <t>9I0IB</t>
  </si>
  <si>
    <t>WOS:000899917200001</t>
  </si>
  <si>
    <t>Zhao, L; Zhao, YF; Bu, LG; Sun, HR; Tang, WZ; Li, K; Zhang, W; Tang, WZ; Zhang, Y</t>
  </si>
  <si>
    <t>Zhao, Lei; Zhao, Yufei; Bu, Lingguo; Sun, Haoran; Tang, Wanzhi; Li, Kun; Zhang, Wei; Tang, Weizhong; Zhang, Yu</t>
  </si>
  <si>
    <t>Design Method of a Smart Rehabilitation Product Service System Based on Virtual Scenarios: A Case Study</t>
  </si>
  <si>
    <t>Rehabilitation service system; virtual scenarios; smart rehabilitation products; multimodal data-driven</t>
  </si>
  <si>
    <t>REALITY; INTERNET; HEALTH</t>
  </si>
  <si>
    <t>The development of artificial intelligence and virtual reality technology has enabled rehabilitation service systems based on virtual scenarios to provide patients with a multi-sensory simulation experience. However, the design methods of most rehabilitation service systems rarely consider the physician-manufacturer synergy in the patient rehabilitation process, as well as the problem of inaccurate quantitative evaluation of rehabilitation efficacy. Thus, this study proposes a design method for a smart rehabilitation product service system based on virtual scenarios. This method is important for upgrading the rehabilitation service system. First, the efficacy of rehabilitation for patients is quantitatively assessed using multimodal data. Then, an optimization mechanism for virtual training scenarios based on rehabilitation efficacy and a rehabilitation plan based on a knowledge graph are established. Finally, a design framework for a full-stage service system that meets user needs and enables physician-manufacturer collaboration is developed by adopting a cloud-end-human architecture. This study uses virtual driving for autistic children as a case study to validate the proposed framework and method. Experimental results show that the service system based on the proposed methods can construct an optimal virtual driving system and its rehabilitation program based on the evaluation results of patients' rehabilitation efficacy at the current stage. It also provides guidance for improving rehabilitation efficacy in the subsequent stages of rehabilitation services.</t>
  </si>
  <si>
    <t>[Zhao, Lei; Zhao, Yufei; Sun, Haoran; Li, Kun; Zhang, Wei] Shandong Jianzhu Univ, Sch Mech &amp; Elect Engn, Jinan 250101, Peoples R China; [Bu, Lingguo] Shandong Univ, Joint SDU NTU Ctr Artificial Intelligence Res C FA, Jinan 250100, Peoples R China; [Tang, Wanzhi] Univ Alberta, Fac Arts, Edmonton, AB T6G 2R3, Canada; [Tang, Weizhong] Dept Weizhong Childrens Rehabil Ctr, Jinan 250000, Peoples R China</t>
  </si>
  <si>
    <t>Shandong Jianzhu University; Shandong University; University of Alberta</t>
  </si>
  <si>
    <t>Zhao, L (corresponding author), Shandong Jianzhu Univ, Sch Mech &amp; Elect Engn, Jinan 250101, Peoples R China.;Bu, LG (corresponding author), Shandong Univ, Joint SDU NTU Ctr Artificial Intelligence Res C FA, Jinan 250100, Peoples R China.</t>
  </si>
  <si>
    <t>leizhao1219@sdjzu.edu.cn; bulingguo@sdu.edu.cn</t>
  </si>
  <si>
    <t>Sun, Solomon/JUV-1311-2023; Zhang, Wei/GLR-9778-2022</t>
  </si>
  <si>
    <t>Bu, Lingguo/0000-0003-2340-6460</t>
  </si>
  <si>
    <t>10.1109/TNSRE.2023.3333049</t>
  </si>
  <si>
    <t>CD8G0</t>
  </si>
  <si>
    <t>WOS:001123396600002</t>
  </si>
  <si>
    <t>Johnson, M; Tate, AM; Tate, K; Laane, SA; Chang, ZS; Chapman, SB</t>
  </si>
  <si>
    <t>Johnson, Maria; Tate, Aaron M.; Tate, Kathleen; Laane, Sarah A.; Chang, Zhengsi; Chapman, Sandra Bond</t>
  </si>
  <si>
    <t>Charisma™ virtual social training: A digital health platform and protocol</t>
  </si>
  <si>
    <t>virtual reality; social cognition; pediatric; digital health; immersion</t>
  </si>
  <si>
    <t>YOUNG-ADULTS; REALITY; AUTISM; REHABILITATION; INTERVENTION; IMMERSION; CHILDREN</t>
  </si>
  <si>
    <t>Low immersion virtual reality (LIVR) is a computer-generated, three-dimensional virtual environment that allows for authentic social interactions through a personal avatar, or digital representation of oneself. Lab-based delivery of LIVR social skills intervention has been shown to support social learning through controlled, targeted practice. Recent remote technological advancements allow LIVR-based social skills training to potentially overcome accessibility barriers by delivering to youth in their home. This study investigated the impact of 10-h of Charisma (TM) Virtual Social Training (CHARISMA-VST), a LIVR-based intervention, on social skill changes in children and adolescents who struggle socially via either in-person or remote training protocols. Specifically, the aims examined both the impact of training location (in-person vs remote access) and diagnosis (parent report of autism spectrum disorder (ASD) diagnosis versus parent report of other non-ASD diagnosis) on objective measures of social skill change following CHARISMA-VST. Researchers delivered the CHARISMA-VST via Charisma 1.0, a customized virtual gaming environment. Sixty-seven participants (49 males, 18 females) between the ages of 9-17, with parent reported social challenges, completed 10, 1-h CHARISMA-VST sessions during which nine social cognitive strategies were taught and then practiced within a LIVR environment with interspersed social coaching. Four social cognitive domains were measured pre-post training: emotion recognition, social inferencing, social attribution, and social self-schemata. Results revealed improvements in emotion recognition, social inferencing, social attribution, and social self-schemata with medium to large effect sizes following the CHARISMA-VST. There was no moderating effect of training location on emotion recognition, social inferencing, and social self-schemata, suggesting comparable gains whether participants accessed the technology in their own homes or from a school or specialty center. There was no moderating effect of ASD versus non-ASD diagnosis on performance measures, suggesting CHARISMA-VST may be effective in improving social skills in individuals beyond its initially designed use focused on individuals with ASD. These encouraging findings from this pilot intervention study provide some of the first evidence of potential new virtual technology tools, as exemplified by CHARISMA-VST, to improve one of the most important aspects of human behavior-social skills and human connectedness in youth with a range of social competency challenges.</t>
  </si>
  <si>
    <t>[Johnson, Maria; Tate, Aaron M.; Tate, Kathleen; Laane, Sarah A.; Chang, Zhengsi; Chapman, Sandra Bond] Univ Texas Dallas, Ctr BrainHealth, Sch Behav &amp; Brain Sci, Dallas, TX 75080 USA</t>
  </si>
  <si>
    <t>University of Texas System; University of Texas Dallas</t>
  </si>
  <si>
    <t>Johnson, M (corresponding author), Univ Texas Dallas, Ctr BrainHealth, Sch Behav &amp; Brain Sci, Dallas, TX 75080 USA.</t>
  </si>
  <si>
    <t>Maria.johnson@utdallas.edu</t>
  </si>
  <si>
    <t>Chang, Zhengsi/GWQ-4697-2022</t>
  </si>
  <si>
    <t>NOV 14</t>
  </si>
  <si>
    <t>10.3389/frvir.2022.1004162</t>
  </si>
  <si>
    <t>L4XG4</t>
  </si>
  <si>
    <t>WOS:001023305000001</t>
  </si>
  <si>
    <t>Duris, O; Labossiere, C; Lesage, N; Carré, G</t>
  </si>
  <si>
    <t>Duris, Olivier; Labossiere, Charlotte; Lesage, Natacha; Carre, Guillaume</t>
  </si>
  <si>
    <t>Digital Creativity and Therapeutic Innovation: Recreating a Clinical Space in Minecraft</t>
  </si>
  <si>
    <t>EVOLUTION PSYCHIATRIQUE</t>
  </si>
  <si>
    <t>Video therapy; Minecraft; Therapeutic mediation; Video game; Autism spectrum disorder</t>
  </si>
  <si>
    <t>Objectives. - Today, video games are recognized as an excellent tool for therapeutic mediation with young children with Autism Spectrum Disorder (ASD), playing the role of a malleable medium facilitating the evolution of group dynamics and creating a play area between the child and the adult, a space of creativity and shared pleasure allowing them to be together, to communicate, and to enter into a secure and holding-type intersubjective relationship. This is why we wanted to maintain this type of treatment during the general lockdown imposed in France in March 2020. Method. - We set up a virtual activity based on the use of the video game Minecraft, after having reconstituted our outpatient clinic for children and adolescents on a private server. Following the end of the lockdown, we were able to experiment with two workshops: one face-to-face; and the other in video therapy. Results. - We were able to observe similarities and differences in the use of this medium by our young ASD patients, but also in the way in which this treatment allowed us to put a little institution back into the daily lives of youth during lockdown. Thus, we were able to see that the content of the Minecraft game, and more specifically the reconstructed clinic, functioned as a space of holding for the adolescents. The comparison between the digital institution and the real institution was present throughout the session in the ado-lescents' exploratory actions. However, they were never tricked by this virtual reality, each one considering this digital clinic as a simple simulation of the institution where they go for treatment.</t>
  </si>
  <si>
    <t>[Duris, Olivier; Labossiere, Charlotte; Lesage, Natacha] Hop Jour Andre, Boulloche Assoc Cerep Phymentin, 56 Rue Faubourg Poissonniere, F-75010 Paris, France; [Carre, Guillaume] Univ Paris, Psychol Psychopathol Clin Psychanalyt PPCP, Paris, France</t>
  </si>
  <si>
    <t>Universite Paris Cite</t>
  </si>
  <si>
    <t>Duris, O (corresponding author), Hop Jour Andre, Boulloche Assoc Cerep Phymentin, 56 Rue Faubourg Poissonniere, F-75010 Paris, France.</t>
  </si>
  <si>
    <t>oliv.duris@gmail.com</t>
  </si>
  <si>
    <t>ELSEVIER FRANCE-EDITIONS SCIENTIFIQUES MEDICALES ELSEVIER</t>
  </si>
  <si>
    <t>ISSY-LES-MOULINEAUX</t>
  </si>
  <si>
    <t>65 RUE CAMILLE DESMOULINS, CS50083, 92442 ISSY-LES-MOULINEAUX, FRANCE</t>
  </si>
  <si>
    <t>0014-3855</t>
  </si>
  <si>
    <t>1769-6674</t>
  </si>
  <si>
    <t>EVOL PSYCHIATR</t>
  </si>
  <si>
    <t>Evol. Psychiatr.</t>
  </si>
  <si>
    <t>10.1016/j.evopsy.2022.01.001</t>
  </si>
  <si>
    <t>8W9IK</t>
  </si>
  <si>
    <t>WOS:000931637100006</t>
  </si>
  <si>
    <t>Stallmann, L; Dukes, D; Tran, M; de Gevigney, VD; Rudrauf, D; Samson, AC</t>
  </si>
  <si>
    <t>Stallmann, Lina; Dukes, Daniel; Tran, Michel; de Gevigney, Valentin Durand; Rudrauf, David; Samson, Andrea C.</t>
  </si>
  <si>
    <t>Socially Supported by an Embodied Agent: The Development of a Virtual-Reality Paradigm to Study Social Emotion Regulation</t>
  </si>
  <si>
    <t>virtual reality; cyberball; virtual agent; social support; social exclusion; social emotion regulation</t>
  </si>
  <si>
    <t>AUTISM; PROGRAM; SKILLS</t>
  </si>
  <si>
    <t>Social emotion regulation, which can be understood as the intentional efforts by one person to regulate emotions of another person, is something we encounter and benefit from every day, and becomes especially important when a person is unable to handle an emotion or an emotional event by themselves. A paradigm that examines whether someone can perceive and benefit from regulatory efforts by another person, represented here by a virtual agent, would be highly relevant for experimental studies investigating social emotion regulation, as well as for interventions in the clinical and sub-clinical context. Virtual reality (VR) provides perhaps the ideal opportunity to test social interactions and difficulties with them, as it counters typical methodological problems of behavioral experiments, such as the trade-off between ecological validity and experimental control, as well as the difficulty of replicating social situations. The goal of the present methods paper is twofold: to provide a detailed description of the development of a novel paradigm consisting of two scenarios in VR designed to test the efficacy of social emotion regulation, and to present the anticipated results for the target populations of typically developing and autistic youth. Participants are presented with a virtual school environment and take part in two activities with a class of students and a teacher, all of whom are virtual agents. In both scenarios, participants experience a potentially stressful situation and are subsequently offered emotional support by a friendly student. Throughout the experiment, self-reports in the form of virtual smiley scales and psychophysiological measurements are collected as markers of the participants' emotional states. Pilot results will be discussed in line with anticipated outcomes, to indicate that the experiment will be able to show the efficacy of social support by a virtual agent and provide insight into social emotion regulation for different populations. The school environment and the character of the friendly student also have the potential to be adapted for follow-up experiments on additional aspects of social emotion regulation for a variety of contexts.</t>
  </si>
  <si>
    <t>[Stallmann, Lina; Dukes, Daniel; Tran, Michel; Samson, Andrea C.] Univ Fribourg, Inst Special Educ, Fribourg, Switzerland; [Stallmann, Lina; Dukes, Daniel; de Gevigney, Valentin Durand; Rudrauf, David; Samson, Andrea C.] Univ Geneva, Swiss Ctr Affect Sci, Geneva, Switzerland; [Tran, Michel; Samson, Andrea C.] Unidistance Suisse, Fac Psychol, Brig, Switzerland; [Rudrauf, David] Univ Geneva, Fac Psychol &amp; Educ Sci, Geneva, Switzerland; [de Gevigney, Valentin Durand] Inst Rech Informat &amp; Syst Aleatoires, Lannion, France</t>
  </si>
  <si>
    <t>University of Fribourg; University of Geneva; University of Geneva</t>
  </si>
  <si>
    <t>Samson, AC (corresponding author), Univ Fribourg, Inst Special Educ, Fribourg, Switzerland.;Samson, AC (corresponding author), Univ Geneva, Swiss Ctr Affect Sci, Geneva, Switzerland.;Samson, AC (corresponding author), Unidistance Suisse, Fac Psychol, Brig, Switzerland.</t>
  </si>
  <si>
    <t>andrea.samson@unifr.ch</t>
  </si>
  <si>
    <t>; Samson, Andrea/K-3928-2017</t>
  </si>
  <si>
    <t>Durand de Gevigney, Valentin/0000-0002-8714-9355; Rudrauf, David/0000-0002-9621-1800; Dukes, Daniel/0000-0001-8360-849X; Samson, Andrea/0000-0001-6807-3132; Stallmann, Lina/0000-0003-1549-9433</t>
  </si>
  <si>
    <t>Swiss National Science Foundation (SNSF) [PP00P1_176,722]; Swiss Center for Affective Sciences; Research Fund of Unidistance Suisse</t>
  </si>
  <si>
    <t>Swiss National Science Foundation (SNSF)(Swiss National Science Foundation (SNSF)); Swiss Center for Affective Sciences; Research Fund of Unidistance Suisse</t>
  </si>
  <si>
    <t>This project was supported by the Swiss National Science Foundation (SNSF; PP00P1_176,722 for AS), the Incentive Funding from the Swiss Center for Affective Sciences and the Research Fund of Unidistance Suisse.</t>
  </si>
  <si>
    <t>MAR 10</t>
  </si>
  <si>
    <t>10.3389/frvir.2022.826241</t>
  </si>
  <si>
    <t>L2SR1</t>
  </si>
  <si>
    <t>WOS:001021813400001</t>
  </si>
  <si>
    <t>Newbutt, N; Glaser, N; Palmer, H</t>
  </si>
  <si>
    <t>Newbutt, Nigel; Glaser, Noah; Palmer, Heath</t>
  </si>
  <si>
    <t>Not perfect but good enough: a primer for creating spherical video-based virtual reality for autistic users</t>
  </si>
  <si>
    <t>Autism; Virtual reality; Spherical video-based virtual reality; 360-degree video-based VR; Immersive technology; SVVR</t>
  </si>
  <si>
    <t>SOCIAL-SKILLS; INTERVENTIONS; CHILDREN</t>
  </si>
  <si>
    <t>Purpose Previous research provides promising insights to the role of spherical video-based virtual reality (SVVR) applied with and for autistic users. Work already conducted in this area suggests that SVVR delivered via a range of head-mounted displays (HMDs) are useable, acceptable, can enable skill acquisition, can be relevant for delivering training, can help to reduce discomfort and promote skills generalization. However, to date very little research articulates methods or approaches to the design and development of SVVR. Here, the authors share the experiences of working in this space and designing SVVR content with and for autistic groups. Design/methodology/approach The authors draw upon two case studies/projects that were previous worked on with the intention to extrapolate key parts of the production process of SVVR development. The authors also outline key theoretical contexts as related to SVVR development in this field. Findings The goal of this primer on SVVR is to provide researchers and practitioners with an overview of using this technology. The authors provide a set of recommendations that should inform others in creating their own content and developing SVVR for/with/by autistic people. Originality/value This work combines and outlines theoretical, conceptual and practical considerations for practitioners and stakeholders seeking to build and deploy SVVR content; aspects not reported in previous research.</t>
  </si>
  <si>
    <t>[Newbutt, Nigel] Univ Florida, Inst Adv Learning Technol, Gainesville, FL 32611 USA; [Glaser, Noah] Old Dominion Univ, Dept STEM Educ &amp; Profess Studies, Norfolk, VA USA; [Palmer, Heath] Univ Cincinnati, Cincinnati, OH USA</t>
  </si>
  <si>
    <t>State University System of Florida; University of Florida; Old Dominion University; University System of Ohio; University of Cincinnati</t>
  </si>
  <si>
    <t>Newbutt, N (corresponding author), Univ Florida, Inst Adv Learning Technol, Gainesville, FL 32611 USA.</t>
  </si>
  <si>
    <t>Glaser, Noah/0000-0002-1966-2720</t>
  </si>
  <si>
    <t>10.1108/JET-01-2022-0008</t>
  </si>
  <si>
    <t>WOS:000772801400001</t>
  </si>
  <si>
    <t>Stasolla, F; Curcio, E; Passaro, A; Di Gioia, M; Zullo, A; Martini, E</t>
  </si>
  <si>
    <t>Stasolla, Fabrizio; Curcio, Enza; Passaro, Anna; Di Gioia, Mariacarla; Zullo, Antonio; Martini, Elvira</t>
  </si>
  <si>
    <t>Exploring the Combination of Serious Games, Social Interactions, and Virtual Reality in Adolescents with ASD: A Scoping Review</t>
  </si>
  <si>
    <t>TECHNOLOGIES</t>
  </si>
  <si>
    <t>autism spectrum disorder; serious games; virtual reality; social interactions</t>
  </si>
  <si>
    <t>AUTISM SPECTRUM DISORDERS; CHILDREN; STATE; HAND; INDIVIDUALS; MICROSWITCH; ENGAGEMENT; DESIGN; BOYS</t>
  </si>
  <si>
    <t>Autism spectrum disorder (ASD) often presents significant challenges for adolescents in developing social interaction skills. Emerging technologies such as Serious Games (SGs) and Virtual Reality (VR) offer promising solutions by providing immersive, interactive learning environments. This scoping review evaluates the potential of VR-based SGs to enhance social skills in adolescents with ASD by identifying current applications, benefits, limitations, and research gaps. A systematic search of the literature was conducted on Scopus, focusing on empirical studies published between 2013 and 2024. Studies were included based on their relevance to the use of SGs and VR in promoting social interactions in children and adolescents with ASD. The review highlights that VR-based SGs can effectively support the development of social skills, such as communication and collaboration, by providing structured, safe environments for children and adolescents to practice and refine their abilities. However, challenges remain, including the high cost of VR equipment, the need for greater customization, and the limited scope of long-term efficacy studies. While VR-based SGs show considerable promise, further research is needed to explore their long-term impacts and improve accessibility. Addressing these challenges could solidify VR's role in ASD interventions, enhancing social skill development and improving the quality of life for children and adolescents with ASD.</t>
  </si>
  <si>
    <t>[Stasolla, Fabrizio; Curcio, Enza; Passaro, Anna; Martini, Elvira] Giustino Fortunato Univ, Fac Law, I-82100 Benevento, Italy; [Di Gioia, Mariacarla; Zullo, Antonio] Mercatorum Univ, Dept Human &amp; Social Sci, I-00186 Rome, Italy</t>
  </si>
  <si>
    <t>Universita Telematica Giustino Fortunato; Universita Telematica Mercatorum</t>
  </si>
  <si>
    <t>Stasolla, F (corresponding author), Giustino Fortunato Univ, Fac Law, I-82100 Benevento, Italy.</t>
  </si>
  <si>
    <t>f.stasolla@unifortunato.eu; e.curcio@unifortunato.eu; a.passaro@unifortunato.eu; m.digioia@unifortunato.eu; a.zullo3@unifortunato.eu; e.martini@unifortunato.eu</t>
  </si>
  <si>
    <t>Zullo, Antonio/KHX-9975-2024; Stasolla, Fabrizio/I-5418-2019; Passaro, Anna/ITT-8344-2023</t>
  </si>
  <si>
    <t>Stasolla, Fabrizio/0000-0003-1626-9664; Passaro, Anna/0009-0008-1231-7087</t>
  </si>
  <si>
    <t>2227-7080</t>
  </si>
  <si>
    <t>Technologies</t>
  </si>
  <si>
    <t>10.3390/technologies13020076</t>
  </si>
  <si>
    <t>Engineering, Multidisciplinary</t>
  </si>
  <si>
    <t>Y1B4X</t>
  </si>
  <si>
    <t>WOS:001429568100001</t>
  </si>
  <si>
    <t>Capobianco, M; Puzzo, C; Di Matteo, C; Costa, A; Adriani, W</t>
  </si>
  <si>
    <t>Capobianco, Micaela; Puzzo, Concetto; Di Matteo, Chiara; Costa, Alberto; Adriani, Walter</t>
  </si>
  <si>
    <t>Current virtual reality-based rehabilitation interventions in neuro-developmental disorders at developmental ages</t>
  </si>
  <si>
    <t>FRONTIERS IN BEHAVIORAL NEUROSCIENCE</t>
  </si>
  <si>
    <t>ADHD; ASD; SLD; neuro-developmental disorders; VR</t>
  </si>
  <si>
    <t>DEFICIT-HYPERACTIVITY DISORDER; AUTISM SPECTRUM DISORDER; ATTENTION-DEFICIT/HYPERACTIVITY DISORDER; EXECUTIVE FUNCTION; LEARNING-DISABILITIES; CHILDREN; ADHD; PREVALENCE; PERFORMANCE; PARENTS</t>
  </si>
  <si>
    <t>This mini-review examines the available papers about virtual reality (VR) as a tool for the diagnosis or therapy of neurodevelopmental disorders, focusing on Attention Deficit Hyperactivity Disorder (ADHD), Autism Spectrum Disorder (ASD), and Specific Learning Disorders (SLD). Through a search on literature, we selected 62 studies published between 1998 and 2024. After exclusion criteria, our synoptic table includes 32 studies on ADHD (17 were on diagnostic evaluation and 15 were on therapeutic interventions), 2 on pure ASD, and 2 on pure SLD. These cover a total of 8,139 participants with ADHD (ages 3-19), 458 with ASD (ages 4-19), and 162 with SLD (ages 7-11). Results show that VR offers high ecological validity and enables improvements in cognitive and social skills. Specifically, in individuals with ADHD, VR showed benefits in attention and executive function, with optimal results when combined with pharmacological treatments. For ASD kids, VR proved effective in enhancing social skills and emotional regulation through personalized virtual scenarios. However, the literature on SLD remains limited, suggesting an evolving area of research. Despite limitations related to small sample sizes and technology costs, VR presents a promising outlook for clinical intervention in neuro-developmental disorders, supporting enhanced skills in a safe and controlled environment. We conclude that both immersive and non-immersive VR represents a valuable supplement to traditional therapies, allowing for personalized approaches.</t>
  </si>
  <si>
    <t>[Capobianco, Micaela; Puzzo, Concetto; Costa, Alberto; Adriani, Walter] Niccolo Cusano Univ, Econ Psychol &amp; Commun Sci Dept, Rome, Italy; [Puzzo, Concetto; Di Matteo, Chiara; Adriani, Walter] Univ Telemat Int Uninettuno, Fac Psychol, Rome, Italy; [Puzzo, Concetto; Adriani, Walter] Ist Super Sanita, Ctr Behav Sci &amp; Mental Hlth, Rome, Italy; [Costa, Alberto] IRCCS Fdn Santa Lucia, Rome, Italy</t>
  </si>
  <si>
    <t>Niccolo Cusano Online University; UNINETTUNO; Istituto Superiore di Sanita (ISS); IRCCS Santa Lucia</t>
  </si>
  <si>
    <t>Adriani, W (corresponding author), Niccolo Cusano Univ, Econ Psychol &amp; Commun Sci Dept, Rome, Italy.;Adriani, W (corresponding author), Univ Telemat Int Uninettuno, Fac Psychol, Rome, Italy.;Adriani, W (corresponding author), Ist Super Sanita, Ctr Behav Sci &amp; Mental Hlth, Rome, Italy.</t>
  </si>
  <si>
    <t>walter.adriani@iss.it</t>
  </si>
  <si>
    <t>Unicusano funds</t>
  </si>
  <si>
    <t>The author(s) declare that financial support was received for the research, authorship, and/or publication of this article. This research was supported by Unicusano funds.</t>
  </si>
  <si>
    <t>1662-5153</t>
  </si>
  <si>
    <t>FRONT BEHAV NEUROSCI</t>
  </si>
  <si>
    <t>Front. Behav. Neurosci.</t>
  </si>
  <si>
    <t>JAN 15</t>
  </si>
  <si>
    <t>10.3389/fnbeh.2024.1441615</t>
  </si>
  <si>
    <t>Behavioral Sciences; Neurosciences</t>
  </si>
  <si>
    <t>Behavioral Sciences; Neurosciences &amp; Neurology</t>
  </si>
  <si>
    <t>T9A7T</t>
  </si>
  <si>
    <t>WOS:001407853200001</t>
  </si>
  <si>
    <t>Failla, C; Chilà, P; Vetrano, N; Doria, G; Scarcella, I; Minutoli, R; Scandurra, A; Gismondo, S; Marino, F; Pioggia, G</t>
  </si>
  <si>
    <t>Failla, Chiara; Chila, Paola; Vetrano, Noemi; Doria, Germana; Scarcella, Ileana; Minutoli, Roberta; Scandurra, Alberto; Gismondo, Stefania; Marino, Flavia; Pioggia, Giovanni</t>
  </si>
  <si>
    <t>Virtual reality for autism: unlocking learning and growth</t>
  </si>
  <si>
    <t>virtual reality; autism spectrum disorder; technology; learning; sensory stimulation</t>
  </si>
  <si>
    <t>SPECTRUM DISORDER; SOCIAL-SKILLS; CHILDREN; INTERVENTION; DESIGN</t>
  </si>
  <si>
    <t>[Failla, Chiara; Chila, Paola; Vetrano, Noemi; Doria, Germana; Scarcella, Ileana; Minutoli, Roberta; Scandurra, Alberto; Gismondo, Stefania; Marino, Flavia; Pioggia, Giovanni] Natl Res Council Italy CNR, Inst Biomed Res &amp; Innovat IRIB, Messina, Italy; [Failla, Chiara] Univ Enna Kore, Dept Human &amp; Soc Sci, Enna, Italy; [Chila, Paola; Doria, Germana; Scarcella, Ileana; Minutoli, Roberta] Int Telemat Univ Uninettuno, Fac Psychol, Rome, Italy; [Vetrano, Noemi] Univ Messina, Dept Cognit Psychol Sci &amp; Cultural Studies, Enna, Italy</t>
  </si>
  <si>
    <t>Consiglio Nazionale delle Ricerche (CNR); Istituto Ricerca l'Innovazione Biomedica (IRIB-CNR); Universita Kore di ENNA; UNINETTUNO; University of Messina</t>
  </si>
  <si>
    <t>Marino, F (corresponding author), Natl Res Council Italy CNR, Inst Biomed Res &amp; Innovat IRIB, Messina, Italy.</t>
  </si>
  <si>
    <t>flavia.marino@irib.cnr.it</t>
  </si>
  <si>
    <t>Marino, Flavia/IQR-5146-2023; Scarcella, Ileana/AAB-5050-2020; Pioggia, Giovanni/C-8119-2016; Failla, Chiara/IJR-9878-2023; Minutoli, Roberta/IIL-9317-2023</t>
  </si>
  <si>
    <t>Project RI-CONNETTERSI Fondazione Con i Bambini -Bando un passo avanti -Idee innovative per il contrasto alla poverta educativa minorile; Fondazione di Comunita di Messina; Onlus; Municipality of Messina [2018-PAS-01471]</t>
  </si>
  <si>
    <t>Project RI-CONNETTERSI Fondazione Con i Bambini -Bando un passo avanti -Idee innovative per il contrasto alla poverta educativa minorile; Fondazione di Comunita di Messina; Onlus; Municipality of Messina</t>
  </si>
  <si>
    <t>The author(s) declare financial support was received for the research, authorship, and/or publication of this article. This research was funded by Project RI-CONNETTERSI Fondazione Con i Bambini -Bando un passo avanti -Idee innovative per il contrasto alla poverta educativa minorile, Fondazione di Comunita di Messina, Onlus, Municipality of Messina, ME, 2018-PAS-01471.</t>
  </si>
  <si>
    <t>DEC 3</t>
  </si>
  <si>
    <t>10.3389/fpsyg.2024.1417717</t>
  </si>
  <si>
    <t>Q6R3U</t>
  </si>
  <si>
    <t>WOS:001385921700001</t>
  </si>
  <si>
    <t>Smith, MJ; Merle, JL; Baker-Ericzén, M; Sherwood, K; Bornheimer, LA; Ross, B; Harrington, M; Sharma, A; Brown, C; Gordon, TTJ; Telfer, D; Reese, J; Hirst, J; Oulvey, EA; Dignadice, V; Williams, ED; Magaña, S; Hume, K; Sung, CN; Burke-Miller, JK; Smith, JD</t>
  </si>
  <si>
    <t>Smith, Matthew J.; Merle, James L.; Baker-Ericzen, Mary; Sherwood, Kari; Bornheimer, Lindsay A.; Ross, Brittany; Harrington, Meghan; Sharma, Apara; Brown, Cheryl; Gordon, Timotheus (TJ); Telfer, David; Reese, Jocelyn; Hirst, Jennifer; Oulvey, Eugene A.; Dignadice, Valerie; Williams, Ed-Dee; Magana, Sandra; Hume, Kara; Sung, Connie; Burke-Miller, Jane K.; Smith, Justin D.</t>
  </si>
  <si>
    <t>A type 1 hybrid multi-site randomized controlled trial protocol for evaluating virtual interview training among autistic transition-age youth</t>
  </si>
  <si>
    <t>CONTEMPORARY CLINICAL TRIALS COMMUNICATIONS</t>
  </si>
  <si>
    <t>autism; transition-age youth; employment; job interview skills; virtual interview training</t>
  </si>
  <si>
    <t>PSYCHOMETRIC PROPERTIES; IMPLEMENTATION RESEARCH; SPECTRUM DISORDERS; JOB INTERVIEW; MIXED METHODS; ADOLESCENTS; EMPLOYMENT; INTERVENTIONS; MOTIVATION; EDUCATION</t>
  </si>
  <si>
    <t>A number of policies mandate that autistic transition-age youth receive employment services to prepare for the workforce before high school graduation. A key limitation to these services is the job interview component, which relies on non-standardized, resource-intensive, staff-led role-plays to help autistic transition-age youth improve their interview skills. The autism community has called for better job interview preparation. To address this gap in services, our team, collaborated with the autism community to adapt the intervention, Virtual Reality Job Interview Training ( VR-JIT ; effective among adults with serious mental illness), into Virtual Interview Training for Transition Age Youth ( VIT-TAY ). This adapted intervention was tailored to meet the needs of autistic transition age youth while maintaining the core components of VR-JIT (i.e., an online job interview simulator with four levels of automated feedback and e-learning content). A pilot randomized controlled trial (RCT) demonstrated VIT-TAY's feasibility and initial effectiveness at improving job interview skills, reducing anxiety, and increasing employment rates within six months when added to transition services or pre-employment transition services (Pre-ETS). Thus, the overarching goal of this Hybrid Type 1 effectiveness-implementation study protocol is to conduct a fully-powered RCT of VIT-TAY across 16 schools in various geographical locations. Our specific aims are to 1) Evaluate whether Pre-ETS (or transition services) with VIT-TAY, as compared to Pre-ETS (or transition services) with an active control intervention (i.e., job interview didactics/e-learning with a series of 3-5 min videos of employed autistic adults talking about their career pathways) enhances employment outcomes; 2) Evaluate mechanisms of employment by nine months post-randomization; and 3) Conduct a multilevel, mixed-method process evaluation of the initial implementation of VIT-TAY across settings (e.g., acceptability, feasibility, and barriers and facilitators of implementation).</t>
  </si>
  <si>
    <t>[Smith, Matthew J.; Sherwood, Kari; Bornheimer, Lindsay A.; Ross, Brittany; Harrington, Meghan; Sharma, Apara] Univ Michigan, Sch Social Work, 1080 South Univ Ave,Room 2850, Ann Arbor, MI 48109 USA; [Merle, James L.; Smith, Justin D.] Univ Utah, Spencer Fox Eccles Sch Med, Dept Populat Hlth Sci, Div Hlth Syst Innovat &amp; Res, Salt Lake City, UT USA; [Baker-Ericzen, Mary] San Diego State Univ, Dept Adm Rehabil &amp; Postsecondary Educ, San Diego, CA USA; [Sherwood, Kari] Univ Michigan, Dept Psychol, Ann Arbor, MI USA; [Bornheimer, Lindsay A.] Michigan Med Dept Psychiat, Ann Arbor, MI USA; [Brown, Cheryl] Ann Arbor Publ Sch, Ann Arbor, MI USA; [Gordon, Timotheus (TJ)] Univ Illinois, Autism Selfadvocate &amp; Inst Disabil &amp; Human Dev, Chicago, IL USA; [Telfer, David] Independent Autism Selfadvocate, Warren, RI USA; [Reese, Jocelyn] Lincoln Pk Mixter Inst, Lincoln Pk, MI USA; [Hirst, Jennifer] Michigan Dept Lab &amp; Econ Opportun, Michigan Rehabil Serv, Lansing, MI USA; [Oulvey, Eugene A.] Illinois Dept Human Serv, Dept Rehabil Serv, Springfield, IL USA; [Dignadice, Valerie] San Diego State Univ, San Diego, CA 92182 USA; [Williams, Ed-Dee] Boston Coll, Sch Social Work, Boston, MA USA; [Magana, Sandra] Univ Texas, Sch Social work, Austin, TX USA; [Hume, Kara] Univ North Carolina, Sch Educ, Chapel Hill, NC USA; [Sung, Connie] Michigan State Univ, E Lansing, MI USA; [Burke-Miller, Jane K.] Univ Illinois, Chicago, IL USA</t>
  </si>
  <si>
    <t>University of Michigan System; University of Michigan; Utah System of Higher Education; University of Utah; California State University System; San Diego State University; University of Michigan System; University of Michigan; University of Illinois System; University of Illinois Chicago; University of Illinois Chicago Hospital; California State University System; San Diego State University; Boston College; University of Texas System; University of Texas Austin; University of North Carolina; University of North Carolina Chapel Hill; Michigan State University; University of Illinois System; University of Illinois Chicago; University of Illinois Chicago Hospital</t>
  </si>
  <si>
    <t>Smith, MJ (corresponding author), Univ Michigan, Sch Social Work, 1080 South Univ Ave,Room 2850, Ann Arbor, MI 48109 USA.</t>
  </si>
  <si>
    <t>Smith, Matthew/ACM-2138-2022; Burke-Miller, Jane/V-5904-2019; Sherwood, Kari/KWU-1492-2024</t>
  </si>
  <si>
    <t>Bornheimer, Lindsay/0000-0002-4684-5696; Baker-Ericzen, Mary/0000-0002-7821-6536; Harrington, Meghan/0000-0002-7813-5891; Smith, Matthew/0000-0002-0079-1477; Sherwood, Kari/0000-0003-2157-2174</t>
  </si>
  <si>
    <t>National Institute of Mental Health [R01 MH132656]; Dissemination and Implementation Science Core (DISC) of the Utah Clinical and Translational Science Institute [UM1 TR004409]</t>
  </si>
  <si>
    <t>National Institute of Mental Health(United States Department of Health &amp; Human ServicesNational Institutes of Health (NIH) - USANIH National Institute of Mental Health (NIMH)); Dissemination and Implementation Science Core (DISC) of the Utah Clinical and Translational Science Institute</t>
  </si>
  <si>
    <t>This study was supported by a grant to Matthew J. Smith (R01 MH132656) from the National Institute of Mental Health. Additional support was provided by the Dissemination and Implementation Science Core (DISC) of the Utah Clinical and Translational Science Institute (UM1 TR004409) .</t>
  </si>
  <si>
    <t>ELSEVIER INC</t>
  </si>
  <si>
    <t>525 B STREET, STE 1900, SAN DIEGO, CA 92101-4495 USA</t>
  </si>
  <si>
    <t>2451-8654</t>
  </si>
  <si>
    <t>CONT CLIN TRIAL COMM</t>
  </si>
  <si>
    <t>Contemp. Clin. Trials Commun.</t>
  </si>
  <si>
    <t>10.1016/j.conctc.2024.101384</t>
  </si>
  <si>
    <t>K8P2L</t>
  </si>
  <si>
    <t>WOS:001346454100001</t>
  </si>
  <si>
    <t>Pavithra, D; Yadav, AKS; Selvi, SC; Kumar, AS; Mani, V; Srithar, S</t>
  </si>
  <si>
    <t>Pavithra, D.; Yadav, Ajit Kumar Singh; Selvi, S. Chitra; Kumar, A. Senthil; Mani, V.; Srithar, S.</t>
  </si>
  <si>
    <t>Enhancing cognitive abilities in autistic children through AI-enabled iot intervention and cognicare framework</t>
  </si>
  <si>
    <t>INTERNATIONAL JOURNAL OF SYSTEM ASSURANCE ENGINEERING AND MANAGEMENT</t>
  </si>
  <si>
    <t>AI-enabled intervention; Autism Spectrum Disorder; CogniCare Framework; IoT; Adaptive Processes</t>
  </si>
  <si>
    <t>Autism Spectrum Disorder (ASD) presents unique challenges, including social skill deficits, repetitive behaviours, and communication difficulties, warranting innovative healthcare approaches. Traditional treatments have shown limited success, necessitating a shift towards assistive technologies. This paper addresses the gap in effective medical treatments for autistic children by proposing an AI-enabled IoT system. Current research lacks tangible solutions for ASD, emphasizing the need for a new paradigm. Leveraging AI and IoT technologies, our system utilizes heart rate and EEG sensors for data collection, employing fast geometric ensembling for feature extraction and a Radial Basis Function Network (RBFN) for classification. The system integrates a real-time heart rate sensor to monitor the child's physiological state, offering a predictive model for emotional and behavioural states. A virtual environment using 3D models aids in eye contact improvement and alleviation of social barriers. The goal is to enhance adaptive processes, addressing social skill deficits and communication challenges. Results demonstrate the system's potential in predicting and conveying the child's state, fostering positive interaction, and breaking fear barriers through innovative virtual environments. This novel AI-enabled IoT intervention, CogniCare, fills a critical public health gap, providing a promising avenue for enhancing cognitive abilities and daily living skills in autistic children, ultimately maximizing their positive participation in the community.</t>
  </si>
  <si>
    <t>[Pavithra, D.] Dr NGP Inst Technol, Dept Informat Technol, Coimbatore, Tamil Nadu, India; [Yadav, Ajit Kumar Singh] North Eastern Reg Inst Sci &amp; Technol, Dept Comp Sci &amp; Engn, Itanagar, India; [Selvi, S. Chitra] Univ Coll Engn, Dept Elect &amp; Elect Engn, Dindigul, Tamilnadu, India; [Kumar, A. Senthil] Dayananda Sagar Univ, Sch Engn, Comp Sci &amp; Engn, Bangalore, India; [Mani, V.] SNS Coll Engn, Dept Elect &amp; Elect Engn, Coimbatore, Tamilnadu, India; [Srithar, S.] Koneru Lakshmaiah Educ Fdn, Dept Comp Sci &amp; Engn, Vaddeswaram, Andhra Pradesh, India</t>
  </si>
  <si>
    <t>North Eastern Regional Institute of Science &amp; Technology (NERIST); Koneru Lakshmaiah Education Foundation (K L Deemed to be University)</t>
  </si>
  <si>
    <t>Pavithra, D (corresponding author), Dr NGP Inst Technol, Dept Informat Technol, Coimbatore, Tamil Nadu, India.</t>
  </si>
  <si>
    <t>pavimba07@gmail.com; aky@nerist.ac.in; chiraselvi2020@gmail.com; angusen@gmail.com; vmaniedu@gmail.com; sss.srithar@gmail.com</t>
  </si>
  <si>
    <t>V, Mani/MDT-3812-2025; A, Senthil Kumar/KOD-0825-2024; D, Pavithra/AAD-9640-2022; s, srithar/HLG-1319-2023</t>
  </si>
  <si>
    <t>Angappan, Senthil Kumar/0000-0003-2567-7950; , Mani V/0009-0009-9000-1966; Yadav, Ajit Kumar Singh/0000-0002-2208-0828</t>
  </si>
  <si>
    <t>SPRINGER INDIA</t>
  </si>
  <si>
    <t>NEW DELHI</t>
  </si>
  <si>
    <t>7TH FLOOR, VIJAYA BUILDING, 17, BARAKHAMBA ROAD, NEW DELHI, 110 001, INDIA</t>
  </si>
  <si>
    <t>0975-6809</t>
  </si>
  <si>
    <t>0976-4348</t>
  </si>
  <si>
    <t>INT J SYST ASSUR ENG</t>
  </si>
  <si>
    <t>Int. J. Syst. Assur. Eng. Manag.</t>
  </si>
  <si>
    <t>2024 NOV 7</t>
  </si>
  <si>
    <t>10.1007/s13198-024-02578-3</t>
  </si>
  <si>
    <t>NOV 2024</t>
  </si>
  <si>
    <t>L3P3D</t>
  </si>
  <si>
    <t>WOS:001349868900003</t>
  </si>
  <si>
    <t>Calderone, A; Militi, A; Latella, D; De Luca, R; Corallo, F; De Pasquale, P; Quartarone, A; Maggio, MG; Calabrò, RS</t>
  </si>
  <si>
    <t>Calderone, Andrea; Militi, Angela; Latella, Desiree; De Luca, Rosaria; Corallo, Francesco; De Pasquale, Paolo; Quartarone, Angelo; Maggio, Maria Grazia; Calabro, Rocco Salvatore</t>
  </si>
  <si>
    <t>Harnessing Virtual Reality: Improving Social Skills in Adults with Autism Spectrum Disorder</t>
  </si>
  <si>
    <t>autism spectrum disorder; virtual reality; social skills; neurorehabilitation</t>
  </si>
  <si>
    <t>YOUNG-ADULTS; ADAPTIVE-BEHAVIOR; JOB OFFERS; CHILDREN; INDIVIDUALS; INTERVENTION; TODDLERS</t>
  </si>
  <si>
    <t>Background and Objectives: Autism Spectrum Disorder (ASD) involves challenges in social communication and daily functioning. Emerging research highlights that virtual reality (VR) interventions can significantly improve social skills in adults with ASD by providing immersive, controlled practice environments. This systematic review will assess the effectiveness of VR-based interventions for improving social skills in adults with ASD. Materials and Methods: Studies were identified from an online search of PubMed, Web of Science, Cochrane Library, and Embase databases without any search time range. This review was registered on Open OSF (n) P4SM5. Results: Recent studies show that VR interventions significantly enhance job interview skills, social abilities, and practical tasks in adults with ASD, with improvements in confidence, social understanding, and everyday skills. VR has been shown to be user-friendly and effective in providing immersive, adaptable training experiences. Conclusions: The review highlights VR's promising role in improving social skills, job interview abilities, and daily functioning in adults with ASD. It emphasizes the need for broader studies, standardized interventions, and exploration of VR's integration with other therapies to enhance long-term effectiveness and address comorbidities like anxiety and depression.</t>
  </si>
  <si>
    <t>[Calderone, Andrea] Univ Messina, Dept Clin &amp; Expt Med, Piazza Pugliatti 1, I-98122 Messina, Italy; [Militi, Angela] Univ Messina, Dept Biomed Dent Sci &amp; Morphol &amp; Funct Images, Piazza Pugliatti 1, I-98100 Messina, Italy; [Latella, Desiree; De Luca, Rosaria; Corallo, Francesco; De Pasquale, Paolo; Quartarone, Angelo; Maggio, Maria Grazia; Calabro, Rocco Salvatore] IRCCS Ctr Neurolesi Bonino Pulejo, SS 113 Via Palermo, I-98124 Messina, Italy</t>
  </si>
  <si>
    <t>University of Messina; University of Messina; IRCCS Bonino Pulejo</t>
  </si>
  <si>
    <t>Calderone, A (corresponding author), Univ Messina, Dept Clin &amp; Expt Med, Piazza Pugliatti 1, I-98122 Messina, Italy.</t>
  </si>
  <si>
    <t>andrea.calderone95@gmail.com; angela.militi@unime.it; desiree.latella@irccsme.it; rosaria.deluca@irccsme.it; francesco.corallo@irccsme.it; paolo.depasquale@irccsme.it; angelo.quartarone@irccsme.it; mariagrazia.maggio@irccsme.it; roccos.calabro@irccsme.it</t>
  </si>
  <si>
    <t>Calabrò, Rocco/K-7520-2016; De Pasquale, Paolo/AAB-6969-2019; Maggio, Maria/ABA-1852-2020; Latella, Desiree/LQJ-7357-2024; corallo, francesco/K-5932-2016</t>
  </si>
  <si>
    <t>Latella, Desiree/0000-0002-1812-8454; corallo, francesco/0000-0003-4862-3832; De Pasquale, Paolo/0000-0003-1688-2151; De Luca, Rosaria/0000-0001-9503-4366; Maggio, Maria Grazia/0000-0003-0757-2389; calabro, rocco salvatore/0000-0002-8566-3166; Calderone, Andrea/0009-0006-5012-4425</t>
  </si>
  <si>
    <t>Current Research Funds 2024, Ministry of Health, Italy; Ministry of Health, Italy</t>
  </si>
  <si>
    <t>Current Research Funds 2024, Ministry of Health, Italy; Ministry of Health, Italy(Ministry of Health, Italy)</t>
  </si>
  <si>
    <t>This study was supported by Current Research Funds 2024, Ministry of Health, Italy.</t>
  </si>
  <si>
    <t>10.3390/jcm13216435</t>
  </si>
  <si>
    <t>L5W2C</t>
  </si>
  <si>
    <t>WOS:001351412200001</t>
  </si>
  <si>
    <t>Ju, YM; Kang, S; Kim, J; Ryu, JK; Jeong, EH</t>
  </si>
  <si>
    <t>Ju, Yumi; Kang, Sura; Kim, Jihye; Ryu, Jeh-Kwang; Jeong, Eun-Hwa</t>
  </si>
  <si>
    <t>Clinical Utility of Virtual Kitchen Errand Task for Children (VKET-C) as a Functional Cognition Evaluation for Children with Developmental Disabilities</t>
  </si>
  <si>
    <t>children; functional cognition; performance error; virtual kitchen errand task; virtual reality</t>
  </si>
  <si>
    <t>DEFICIT HYPERACTIVITY DISORDER; CONTINUOUS PERFORMANCE-TEST; AUTISM SPECTRUM DISORDER; EXECUTIVE FUNCTION; ECOLOGICAL VALIDITY; YOUNG-CHILDREN; REALITY; ADHD; DISEASE; PEOPLE</t>
  </si>
  <si>
    <t>Background/Objectives: This study evaluated the clinical utility of a virtual reality (VR)-based kitchen error task for children (VKET-C) to assess functional cognition in children. Methods: In total, 38 children aged 7-12 years were included, comprising 23 typically developing (TD) children and 15 children with developmental disabilities (DDs), including autism spectrum disorder, attention deficit hyperactivity disorder, and intellectual disability. While performing the VKET-C, performance errors were analyzed. The Stockings of Cambridge (SOC) and Spatial Working Memory (SWM) tasks from the Cambridge Neuropsychological Test Automated Battery (CANTAB) were used to assess cognitive function. The Brunner-Munzel test was performed to compare performance errors between the TD and DD groups, and correlations between performance errors and cognitive measures were analyzed. Results: Omission and commission errors were significantly different between the groups (p &lt; 0.001), with no significant difference in motor errors (p &gt; 0.05). Omission errors were correlated with the initial thinking time mean (ITMN) in all items of the SOC task and the between errors (BE) of the SWM task. Commission errors were correlated with the ITMN in the difficult items of the SOC task and the BE of the SWM task. Additionally, motor errors were significantly correlated with problems solved in minimum moves (PSMM) and ITMN in the difficult items of the SOC task and BE in the SWM task. Conclusions: The VKET-C shows promise as an effective tool for assessing executive function and working memory in children with DDs, offering an engaging and ecologically valid alternative to traditional methods.</t>
  </si>
  <si>
    <t>[Ju, Yumi; Ryu, Jeh-Kwang] Dongguk Univ, Grad Sch Educ Serv Sci, Major Human Dev &amp; Rehabil, Seoul 04620, South Korea; [Kang, Sura; Ryu, Jeh-Kwang] Dongguk Univ, Ctr Convergence Res Artificial Intelligence, Seoul 04620, South Korea; [Kim, Jihye] Mustard Seeds Ctr Child Dev, Cheongju 28425, South Korea; [Ryu, Jeh-Kwang] Dongguk Univ, Dept Phys Educ, Seoul 04620, South Korea; [Jeong, Eun-Hwa] Kyung in Womens Univ, Dept Occupat Therapy, Incheon 21041, South Korea</t>
  </si>
  <si>
    <t>Dongguk University; Dongguk University; Dongguk University</t>
  </si>
  <si>
    <t>Jeong, EH (corresponding author), Kyung in Womens Univ, Dept Occupat Therapy, Incheon 21041, South Korea.</t>
  </si>
  <si>
    <t>zxc83@dongguk.edu; surakang7410@dongguk.edu; wisdom12391@gmail.com; ryujk@dgu.ac.kr; eunh1223@kiwu.ac.kr</t>
  </si>
  <si>
    <t>Ryu, Jeh-Kwang/HRD-3229-2023</t>
  </si>
  <si>
    <t>Ryu, Jeh-Kwang/0000-0001-6942-9399</t>
  </si>
  <si>
    <t>Basic Science Research Program through the National Research Foundation of Korea (NRF), funded by the Ministry of Education [RS-2023-00247825]; Basic Science Research Program through the National Research Foundation of Korea (NRF) - Ministry of Education</t>
  </si>
  <si>
    <t>Basic Science Research Program through the National Research Foundation of Korea (NRF), funded by the Ministry of Education(Ministry of Education (MOE), Republic of KoreaNational Research Foundation of Korea); Basic Science Research Program through the National Research Foundation of Korea (NRF) - Ministry of Education(National Research Foundation of KoreaMinistry of Education (MOE), Republic of KoreaNational Research Council for Economics, Humanities &amp; Social Sciences, Republic of Korea)</t>
  </si>
  <si>
    <t>This research was supported by the Basic Science Research Program through the National Research Foundation of Korea (NRF), funded by the Ministry of Education (RS-2023-00247825).</t>
  </si>
  <si>
    <t>10.3390/children11111291</t>
  </si>
  <si>
    <t>N5P2E</t>
  </si>
  <si>
    <t>WOS:001364849400001</t>
  </si>
  <si>
    <t>Artiran, S; Cohen, S; Cosman, P</t>
  </si>
  <si>
    <t>Artiran, Saygin; Cohen, Shana; Cosman, Pamela</t>
  </si>
  <si>
    <t>Virtual reality interview with feedback framework for situational practice of gaze among autistic adults</t>
  </si>
  <si>
    <t>Gaze behavior; Job interview practice; Social interaction practice; Autism spectrum; Virtual reality; Social modulation</t>
  </si>
  <si>
    <t>SPECTRUM DISORDER; EYE-TRACKING; YOUNG-ADULTS; IMPRESSION MANAGEMENT; FUNCTIONING AUTISM; EMPLOYMENT; INDIVIDUALS; ADOLESCENTS; BEHAVIOR; PERCEPTIONS</t>
  </si>
  <si>
    <t>Background: Autistic individuals commonly seek employment; however, only a small fraction are in the workforce. In part, this might be due to mismatches between their social patterns of attention and gaze, and society's normative expectations during interviews. Method: To help mitigate such disadvantages through a solo situational practice tool, we present a framework that consists of a virtual reality (VR) based job interview simulation and a coaching component. Employing data visualization, video modeling, and VR role-play of the targeted behavior, the coaching support could be done in a self-deliverable practice manner. A participatory design session with two autistic design partners was important in the co-creation of the feedback methods, making them easier to understand, and including positive reinforcement. Results: Fourteen autistic individuals used the VR job interview simulation tool. Eleven received the gaze analysis and support stage and participated in a second VR simulation session. Preliminary results were positive, in that participant scores on average eye contact duration, average time without eye contact, and percentage of eye contact while listening and while speaking generally approached the corresponding medians of the non-autistic reference dataset. Participants were surveyed about the utility of the tool after the second feedback session and two months later. All survey respondents perceived the tool to be useful and the provided feedback to be helpful in daily social interactions. Conclusions: This study provides insights towards the development of a VR job interview simulation and feedback framework that can enable solo situational practice of gaze and common interview questions.</t>
  </si>
  <si>
    <t>[Artiran, Saygin; Cosman, Pamela] Univ Calif San Diego, Dept Elect &amp; Comp Engn, La Jolla, CA 92093 USA; [Cohen, Shana] Univ Calif San Diego, Dept Educ Studies, La Jolla, CA 92093 USA</t>
  </si>
  <si>
    <t>sartiran@ucsd.edu</t>
  </si>
  <si>
    <t>Cohen, Shana/AAP-8717-2021</t>
  </si>
  <si>
    <t>We wish to thank Onur Tepencelik, Zachary Burns, Trent Simmons, Ara Jung, and Raghav Ravisankar for helpful discussions, and for their contributions to the VR application. We would also like to thank our participants for their involvement. This work was supported by the National Science Foundation under grant DUE-1928604.</t>
  </si>
  <si>
    <t>10.1016/j.rasd.2024.102494</t>
  </si>
  <si>
    <t>OCT 2024</t>
  </si>
  <si>
    <t>K4R1I</t>
  </si>
  <si>
    <t>WOS:001343753900001</t>
  </si>
  <si>
    <t>Gu, PD; Qian, XQ; Xu, XH; Zhang, L; Ma, ZJ</t>
  </si>
  <si>
    <t>Gu, Peidi; Qian, Xueqin; Xu, Xinhao; Zhang, Ling; Ma, Zijie</t>
  </si>
  <si>
    <t>Enhancing daily living skills in autistic individuals through extended reality: a scoping review</t>
  </si>
  <si>
    <t>Extended reality; autism; daily living skills; skill intervention; virtual reality; augmented reality; mixed reality; affordance</t>
  </si>
  <si>
    <t>IMMERSIVE VIRTUAL-REALITY; SPECTRUM DISORDER; ADULTS; CHILDREN; PERFORMANCE; ADOLESCENTS; EMPLOYMENT; STUDENTS; TASK</t>
  </si>
  <si>
    <t>ObjectivesDespite growing interest, there is limited understanding of how extended reality (XR) technologies enhance daily living skills (DLS) for autistic individuals. This review aims to thoroughly analyze the use of XR in DLS interventions. It seeks to provide a comprehensive overview of the implementation of XR technology in autism interventions, focusing on study characteristics, technological features, and quality of study designs.MethodsWe conducted a scoping review of literature published in English from 2000 to 2023 across four databases, adhering to predefined inclusion criteria. Out of the screened articles, twenty studies met the inclusion criteria.ResultsThe review indicates that Virtual Reality platforms are still predominant in this field. Driving and job interviews emerged as the most frequently explored DLS. A majority of the studies utilized basic computer devices for interaction and visual display, and a limited number of studies met all the research quality indicators.ConclusionsThis study offers a comprehensive overview of XR technology application in DLS interventions for autistic individuals, as per existing literature. It highlighted the nascent state of XR-based DLS interventions for this population and emphasized the need for collaborative efforts between XR experts and professionals in the autism community for future research advancement.</t>
  </si>
  <si>
    <t>[Gu, Peidi] Beijing Normal Univ, Coll Educ Future, Zhuhai, Guangdong, Peoples R China; [Qian, Xueqin] Auburn City Sch Dist, Auburn, AL USA; [Xu, Xinhao] Univ Missouri, Sch Informat Sci &amp; Learning Technol, Columbia, MO USA; [Zhang, Ling] Univ North Carolina, Sch Educ, Chapel Hill, NC USA; [Ma, Zijie] Stride Autism Ctr, Coralville, IA USA</t>
  </si>
  <si>
    <t>Beijing Normal University; University of Missouri System; University of Missouri Columbia; University of North Carolina; University of North Carolina Chapel Hill</t>
  </si>
  <si>
    <t>Gu, PD (corresponding author), Beijing Normal Univ, 18 Jinfeng Rd, Zhuhai 519087, Guangdong, Peoples R China.</t>
  </si>
  <si>
    <t>pgu@bnu.edu.cn</t>
  </si>
  <si>
    <t>, Xueqin/0000-0001-7026-0375; Gu, Peidi/0000-0002-8363-8012; Ma, Zijie/0000-0003-0048-9304; Xu, Xinhao/0000-0002-4981-4641</t>
  </si>
  <si>
    <t>National Education Sciences Planning 2023 Annual Key Project of the Ministry of Education, China [DCA230460]</t>
  </si>
  <si>
    <t>National Education Sciences Planning 2023 Annual Key Project of the Ministry of Education, China</t>
  </si>
  <si>
    <t>This work is partly supported by the National Education Sciences Planning 2023 Annual Key Project of the Ministry of Education under Grant DCA230460, China.</t>
  </si>
  <si>
    <t>2024 SEP 27</t>
  </si>
  <si>
    <t>10.1080/20473869.2024.2410535</t>
  </si>
  <si>
    <t>H5U8A</t>
  </si>
  <si>
    <t>WOS:001324098000001</t>
  </si>
  <si>
    <t>Herrera, G; Vera, L; Pérez-Fuster, P; López-Fernández, A; López, A; Savas-Taskesen, U; Newbutt, N</t>
  </si>
  <si>
    <t>Herrera, Gerardo; Vera, Lucia; Perez-Fuster, Patricia; Lopez-Fernandez, Arturo; Lopez, Alvaro; Savas-Taskesen, Umit; Newbutt, Nigel</t>
  </si>
  <si>
    <t>Multisite usability and safety trial of an immersive virtual reality implementation of a work organization system for autistic learners: implications for technology design</t>
  </si>
  <si>
    <t>TEACCH; Individual working system; Immersive virtual reality; Head mounted display; Education; Autism; Special educational needs; Intellectual disability; Video games</t>
  </si>
  <si>
    <t>TEACCH PROGRAM; CHILDREN; STUDENTS; INDEPENDENCE</t>
  </si>
  <si>
    <t>The increased availability of low-cost, standalone and immersive virtual reality (VR) can facilitate adoption in autism education. An immersive VR implementation of the individual work system (IWS) from the TEACCH (R) approach has the potential to be a safe and predictable environment for autistic learners with or without intellectual disability. This study is a multi-site usability and safety trial examining an immersive VR implementation of the IWS co-designed with autistic pupils and their teachers from three educational centers in the UK, Spain, and Turkey. Twenty-one autistic students aged between 6 and 17 years were involved in the study, six of whom had an intellectual disability. The students tested a total of 164 customized tasks. All participants were able to finish all the tasks. No significant safety issues were identified. The student's average score on the SUS Usability Scale was 85.36 points. A linear regression analysis showed that autistic children with intellectual disability scored significantly lower on feasibility than children without intellectual disability (p &lt; 0.01) across all locations. This study concluded that an immersive VR-IWS proved usable and safe for the 21 students. However, our findings highlight the need for further adaptations and further research on those with an intellectual disability before recommending universal use. Our findings also have implications for game design for learners with special educational needs.</t>
  </si>
  <si>
    <t>[Herrera, Gerardo; Vera, Lucia] Univ Valencia, IRTIC Inst, Valencia, Spain; [Perez-Fuster, Patricia] Univ Valencia, Fac Psychol &amp; Speech Therapy, Dept Dev &amp; Educ Psychol, Valencia, Spain; [Lopez-Fernandez, Arturo] Autismo Avila, Trebol Sch, Avila, Avila, Spain; [Lopez-Fernandez, Arturo] Univ Salamanca, Fac Psychol, Evolutionary &amp; Educ Psychol Dept, Avila, Avila, Spain; [Lopez, Alvaro] Grateley House Sch, Cambian Grp, Grateley, Hants, England; [Savas-Taskesen, Umit] Necmettin Erbakan Univ, Educ Fac, Konya, Turkiye; [Newbutt, Nigel] Univ Florida, Coll Educ, Gainesville, FL USA</t>
  </si>
  <si>
    <t>University of Valencia; University of Valencia; University of Salamanca; Necmettin Erbakan University; State University System of Florida; University of Florida</t>
  </si>
  <si>
    <t>Herrera, G (corresponding author), Univ Valencia, IRTIC Inst, Valencia, Spain.</t>
  </si>
  <si>
    <t>Gerardo.Herrera@uv.es</t>
  </si>
  <si>
    <t>Herrera, Gerardo/AAQ-3698-2020; Pérez-Fuster, Patricia/AFM-1109-2022</t>
  </si>
  <si>
    <t>Herrera, Gerardo/0000-0002-6855-0143</t>
  </si>
  <si>
    <t>Erasmus+ Program of European Union [2019-1-ES01-KA201-065156]</t>
  </si>
  <si>
    <t>Erasmus+ Program of European Union(European Union (EU)Marie Curie Actions)</t>
  </si>
  <si>
    <t>The authors of this work would like to thank the autistic participants, their families and professionals who work with them at the Trebol School in &amp; Aacute;vila (Spain), Cambian School (United Kingdom) and Karatay School (Turkey) for their collaboration. This study has been possible thanks to the support of the Erasmus+ Program of European Union through the project titled The Immersive Virtual Reality as a Tool for Autistic Pupils and Teachers (IVRAP), with grant number 2019-1-ES01-KA201-065156.</t>
  </si>
  <si>
    <t>10.1007/s11423-024-10422-5</t>
  </si>
  <si>
    <t>1CI7B</t>
  </si>
  <si>
    <t>WOS:001324518800001</t>
  </si>
  <si>
    <t>Drageset, DB; Crippen, KJ</t>
  </si>
  <si>
    <t>Drageset, Darby Battle; Crippen, Kent J.</t>
  </si>
  <si>
    <t>A systematic review of the use of virtual reality in formal, informal, and non-formal learning environments for individuals with autism</t>
  </si>
  <si>
    <t>Virtual reality; autism; systematic review; learning; inclusion</t>
  </si>
  <si>
    <t>SPECTRUM DISORDER; SOCIAL-SKILLS; AUGMENTED REALITY; CHILDREN; INTERVENTION; DESIGN; ADOLESCENTS; PEOPLE; YOUTH; TECHNOLOGIES</t>
  </si>
  <si>
    <t>Non-formal learning environments, such as museums, zoos, or botanical gardens, can challenge individuals with autism due to bright lights, loud noises, and unfamiliar social situations. Individuals with autism who want to visit and learn science in these environments need accommodations beyond the Americans with Disabilities Act standards for physical accessibility. Virtual reality (VR) technologies can improve inclusivity and accessibility in non-formal settings for people with autism. Yet, research specific to science learning in this context is minimal. This systematic review nvestigates VR use in various educational settings with individuals with autism in published studies from 2012-2021 using a conceptual framework based on verticality and a medical model of disability. Findings indicate the pervasiveness of the medical model and a lack of work promoting science learning in non-formal spaces such as museums. Museums are known to provide barriers to visitors with autism that go beyond physical accessibility; however, minimal work has been done to make these spaces more inclusive. Opportunities for future work to be informed, progressive, and more likely to promote science learning are discussed.</t>
  </si>
  <si>
    <t>[Drageset, Darby Battle; Crippen, Kent J.] Univ Florida, Sch Teaching &amp; Learning, Gainesville, FL 32611 USA</t>
  </si>
  <si>
    <t>Crippen, KJ (corresponding author), Univ Florida, Sch Teaching &amp; Learning, Gainesville, FL 32611 USA.</t>
  </si>
  <si>
    <t>kcrippen@coe.ufl.edu</t>
  </si>
  <si>
    <t>Crippen, Kent/AAI-3712-2020</t>
  </si>
  <si>
    <t>Drageset, Darby/0000-0002-4350-5338</t>
  </si>
  <si>
    <t>University of Florida Clinical and Translational Science Institute; NIH National Center for Advancing Translational Sciences [UL1TR001427]</t>
  </si>
  <si>
    <t>University of Florida Clinical and Translational Science Institute; NIH National Center for Advancing Translational Sciences</t>
  </si>
  <si>
    <t>Research reported in this publication was supported by the University of Florida Clinical and Translational Science Institute, which is partly supported by the NIH National Center for Advancing Translational Sciences under award number UL1TR001427. The content is solely the authors' responsibility and does not necessarily represent the official views of the National Institutes of Health.</t>
  </si>
  <si>
    <t>2024 SEP 26</t>
  </si>
  <si>
    <t>10.1080/10494820.2024.2405702</t>
  </si>
  <si>
    <t>H0D9F</t>
  </si>
  <si>
    <t>WOS:001320249500001</t>
  </si>
  <si>
    <t>Maddalon, L; Minissi, ME; Parsons, T; Hervas, A; Alcaniz, M</t>
  </si>
  <si>
    <t>Maddalon, Luna; Minissi, Maria Eleonora; Parsons, Thomas; Hervas, Amaia; Alcaniz, Mariano</t>
  </si>
  <si>
    <t>Exploring Adaptive Virtual Reality Systems Used in Interventionsfor Children With Autism Spectrum Disorder: Systematic Review</t>
  </si>
  <si>
    <t>adaptive system; virtual reality; autism spectrum disorder; intervention; training; children; machine learning</t>
  </si>
  <si>
    <t>TECHNOLOGY; DESIGN</t>
  </si>
  <si>
    <t>Background: Adaptive systems serve to personalize interventions or training based on the user's needs and performance. Theadaptation techniques rely on an underlying engine responsible for processing incoming data and generating tailored responses.Adaptive virtual reality (VR) systems have proven to be efficient in data monitoring and manipulation, as well as in their abilityto transfer learning outcomes to the real world. In recent years, there has been significant interest in applying these systems toimprove deficits associated with autism spectrum disorder (ASD). This is driven by the heterogeneity of symptoms among thepopulation affected, highlighting the need for early customized interventions that target each individual's specific symptomconfiguration. Objective: Recognizing these technology-driven therapeutic tools as efficient solutions, this systematic review aims to explorethe application of adaptive VR systems in interventions for young individuals with ASD.Methods: An extensive search was conducted across 3 different databases-PubMed Central, Scopus, and Web of Science-toidentify relevant studies from approximately the past decade. Each author independently screened the included studies to assessthe risk of bias. Studies satisfying the following inclusion criteria were selected: (1) the experimental tasks were delivered via aVR system, (2) system adaptation was automated, (3) the VR system was designed for intervention or training of ASD symptoms,(4) participants'ages ranged from 6 to 19 years, (5) the sample included at least 1 group with ASD, and (6) the adaptation strategywas thoroughly explained. Relevant information extracted from the studies included the sample size and mean age, the study'sobjectives, the skill trained, the implemented device, the adaptive strategy used, the engine techniques, and the signal used toadapt the systems. Results: Overall, a total of 10 articles were included, involving 129 participants, 76% of whom had ASD. The studies includedlevel switching (7/10, 70%), adaptive feedback strategies (9/10, 90%), and weighing the choice between a machine learning (ML)adaptive engine (3/10, 30%) and a non-ML adaptive engine (8/10, 80%). Adaptation signals ranged from explicit behavioralindicators (6/10, 60%), such as task performance, to implicit biosignals, such as motor movements, eye gaze, speech, and peripheralphysiological responses (7/10, 70%). Conclusions: The findings reveal promising trends in the field, suggesting that automated VR systems leveraging real-timeprogression level switching and verbal feedback driven by non-ML techniques using explicit or, better yet, implicit signal processing have the potential to enhance interventions for young individuals with ASD. The limitations discussed mainly stemfrom the fact that no technological or automated tools were used to handle data, potentially introducing bias due to human error</t>
  </si>
  <si>
    <t>[Maddalon, Luna; Minissi, Maria Eleonora; Alcaniz, Mariano] Univ Politecn Valencia, Inst Human Tech, Lab Immers Neurotechnol, Camino Vera S-N,Polytech City Innovat Access N Bld, Valencia 46022, Spain; [Parsons, Thomas] Arizona State Univ, Edson Coll, Grace Ctr, Tempe, AZ USA; [Parsons, Thomas] Arizona State Univ, Computat Neuropsychol &amp; Simulat, Tempe, AZ USA; [Hervas, Amaia] Univ Barcelona, Univ Hosp Mutua Terrassa, Global Inst Neurodev Disorders Integrated Care, Child &amp; Adolescent Serv, Barcelona, Spain</t>
  </si>
  <si>
    <t>Universitat Politecnica de Valencia; Arizona State University; Arizona State University-Tempe; Arizona State University; Arizona State University-Tempe; Hospital Universitario Mutua Terrassa; University of Barcelona</t>
  </si>
  <si>
    <t>Maddalon, L (corresponding author), Univ Politecn Valencia, Inst Human Tech, Lab Immers Neurotechnol, Camino Vera S-N,Polytech City Innovat Access N Bld, Valencia 46022, Spain.</t>
  </si>
  <si>
    <t>lmaddal@upv.edu.es</t>
  </si>
  <si>
    <t>Minissi, Maria Eleonora/0000-0001-6326-0609; Alcaniz, Mariano/0000-0001-9207-0636; Maddalon, Luna/0000-0002-2789-6703</t>
  </si>
  <si>
    <t>AcknowledgmentsThe Spanish Ministry of Science, Innovation, and Universities as well as the State Research Agency funded the project ADAPTEA:Biomarker-Driven Adaptive Virtual Reality Stimulation for ASD Interventions (PID2020-116422RB-C21) . This study wascofunded by the European Union through the Operational Program of the European Regional Development Fund of the ValencianCommunity 2014-2020 (IDIFEDER/2018/029 and IDIFEDER/2021/038) . The cost of publishing open access was covered bythe Polytechnic University of Valencia</t>
  </si>
  <si>
    <t>SEP 18</t>
  </si>
  <si>
    <t>e57093</t>
  </si>
  <si>
    <t>10.2196/57093</t>
  </si>
  <si>
    <t>H9V4K</t>
  </si>
  <si>
    <t>WOS:001326835800004</t>
  </si>
  <si>
    <t>Khorev, V; Kiselev, A; Badarin, A; Antipov, V; Drapkina, O; Kurkin, S; Hramov, A</t>
  </si>
  <si>
    <t>Khorev, Vladimir; Kiselev, Anton; Badarin, Artem; Antipov, Vladimir; Drapkina, Oxana; Kurkin, Semen; Hramov, Alexander</t>
  </si>
  <si>
    <t>Review on the use of AI-based methods and tools for treating mental conditions and mental rehabilitation</t>
  </si>
  <si>
    <t>EUROPEAN PHYSICAL JOURNAL-SPECIAL TOPICS</t>
  </si>
  <si>
    <t>ARTIFICIAL-INTELLIGENCE; DECISION-MAKING; OLDER-ADULTS; PERFORMANCE; SYSTEM; SPEECH; TIME; DISABILITIES; INTERFACE; MEDICINE</t>
  </si>
  <si>
    <t>This review provides a thorough examination of recent developments in artificial intelligence analysis methods within mental and psychiatry field. By analyzing and comparing results obtained with various tools and techniques, we provide a comprehensive and systematic understanding of applications. Our main methods include meta-analysis, search queries with the keywords and network-based approach. In our analysis, we observed that terms associated with robotics, human-computer interaction, speech perception, and certain applications, such as chronic fatigue syndrome and psychological adaptation, have been gradually losing prominence. And conversely, techniques such as deep learning, virtual reality, and virtual assistance are gaining traction, and increasing interest was noted for applications involving autistic spectrum disorders, mild cognitive impairments, and psychiatric research areas. The structured and organized presentation of information, along with the accompanying visualizations and diagrams, makes it a valuable resource for scientists and researchers working in the domains of artificial intelligence.</t>
  </si>
  <si>
    <t>[Khorev, Vladimir; Kiselev, Anton; Badarin, Artem; Antipov, Vladimir; Drapkina, Oxana] Natl Med Res Ctr Therapy &amp; Prevent Med, Coordinating Ctr Fundamental Res, 10 Petroverigsky per, Moscow 101990, Russia; [Khorev, Vladimir; Badarin, Artem; Antipov, Vladimir; Kurkin, Semen; Hramov, Alexander] Immanuel Kant Balt Fed Univ, Balt Ctr Artificial Intelligence &amp; Neurotechnol, 14 Alexander Nevsky St, Kaliningrad 236016, Russia; [Khorev, Vladimir] Innopolis Univ, Neurosci &amp; Cognit Technol Lab, 1 Universitetskaya St, Innopolis 420500, Russia</t>
  </si>
  <si>
    <t>National Medical Research Center for Therapy &amp; Preventive Medicine; Immanuel Kant Baltic Federal University; Innopolis University</t>
  </si>
  <si>
    <t>Khorev, V (corresponding author), Natl Med Res Ctr Therapy &amp; Prevent Med, Coordinating Ctr Fundamental Res, 10 Petroverigsky per, Moscow 101990, Russia.;Khorev, V (corresponding author), Immanuel Kant Balt Fed Univ, Balt Ctr Artificial Intelligence &amp; Neurotechnol, 14 Alexander Nevsky St, Kaliningrad 236016, Russia.;Khorev, V (corresponding author), Innopolis Univ, Neurosci &amp; Cognit Technol Lab, 1 Universitetskaya St, Innopolis 420500, Russia.</t>
  </si>
  <si>
    <t>khorevvs@gmail.com; kiselev@gnicpm.ru; badarin.a.a@mail.ru; vantipovm@gmail.com; drapkina@bk.ru; kurkinsa@gmail.com; hramovae@gmail.com</t>
  </si>
  <si>
    <t>Antipov, Vladimir/D-6608-2014; Badarin, Artem/F-3497-2017; Hramov, Alexander/C-5600-2008; Khorev, Vladimir/D-6131-2013; Kiselev, Anton/F-4785-2011</t>
  </si>
  <si>
    <t>Khorev, Vladimir/0000-0001-6613-8940; Kiselev, Anton/0000-0003-3967-3950</t>
  </si>
  <si>
    <t>Russian Ministry of Health as part of the scientific work Development of a multimodal biofeedback-based hardware and software system for rehabilitation of patients with cognitive and motor disorders of different nature [123020600127-4]</t>
  </si>
  <si>
    <t>Russian Ministry of Health as part of the scientific work Development of a multimodal biofeedback-based hardware and software system for rehabilitation of patients with cognitive and motor disorders of different nature</t>
  </si>
  <si>
    <t>This work was supported by the Russian Ministry of Health as part of the scientific work Development of a multimodal biofeedback-based hardware and software system for rehabilitation of patients with cognitive and motor disorders of different nature, No. 123020600127-4, performed at the National Medical Research Center for Therapy and Preventive Medicine in 2023-2025.</t>
  </si>
  <si>
    <t>1951-6355</t>
  </si>
  <si>
    <t>1951-6401</t>
  </si>
  <si>
    <t>EUR PHYS J-SPEC TOP</t>
  </si>
  <si>
    <t>Eur. Phys. J.-Spec. Top.</t>
  </si>
  <si>
    <t>2024 AUG 12</t>
  </si>
  <si>
    <t>10.1140/epjs/s11734-024-01289-x</t>
  </si>
  <si>
    <t>Physics, Multidisciplinary</t>
  </si>
  <si>
    <t>Physics</t>
  </si>
  <si>
    <t>C5R6R</t>
  </si>
  <si>
    <t>WOS:001289940700005</t>
  </si>
  <si>
    <t>Bonab, HS; Sani, SE; Behzadnia, B</t>
  </si>
  <si>
    <t>Bonab, Hasan Sepehri; Sani, Soghra Ebrahimi; Behzadnia, Behzad</t>
  </si>
  <si>
    <t>The Impact of Virtual Reality Intervention on Emotion Regulation and Executive Functions in Autistic Children</t>
  </si>
  <si>
    <t>GAMES FOR HEALTH JOURNAL</t>
  </si>
  <si>
    <t>Autism spectrum disorder; Emotion regulation; Executive functions; Virtual reality</t>
  </si>
  <si>
    <t>ACUTE AEROBIC EXERCISE; COGNITIVE CONTROL; YOUNG-CHILDREN; MOTOR IMAGERY; SPECTRUM; DIFFICULTIES; REAPPRAISAL; DISORDER</t>
  </si>
  <si>
    <t>Introduction: Autistic children may encounter difficulties in managing emotions and executive functions (EFs), which can contribute to mental and health challenges. Recognizing physical activities as a potential strategy for enhancing emotion regulation (ER), this study aims to investigate the efficacy of a virtual reality (VR)-based physical exercise program in improving ER and EFs among children with autism spectrum disorder (ASD). Materials and Methods: Forty boys diagnosed with ASD, aged 7 to 10 years, were randomly assigned to two groups: a VR intervention group (n = 20) and a control group (n = 20). The intervention group participated in a VR program, while the control group solely concentrated on engaging in sedentary and inactive video gaming. EFs were evaluated through the utilization of both the flanker task and the Wisconsin card sorting task, both administered initially at baseline and subsequently after an 8-week interval. In addition, the parents of the children completed the Emotion Regulation Checklist to evaluate their ER skills. Results: According to the results, a significant difference was observed between the two groups in terms of EFs and the ability to regulate emotion (P &lt; 0.05). The intervention group demonstrated a notable improvement in ER skills and exhibited superior executive functioning abilities compared with the control group. Conclusion: It appears that VR exercises can serve as a preliminary trial to enhance EFs and ER in children with autism. In addition, they may prove effective as complementary interventions to traditional educational strategies in preventing future challenges associated with ASD.</t>
  </si>
  <si>
    <t>[Bonab, Hasan Sepehri] Payame Noor Univ PNU, Dept Phys Educ, Motor Behav, POB 19395-4697, Tehran 5174834883, Iran; [Sani, Soghra Ebrahimi] Ferdowsi Univ Mashhad, Motor Dev, Mashhad, Iran; [Behzadnia, Behzad] Univ Tabriz, Fac Phys Educ &amp; Sport Sci, Dept Motor Behav, Motor Behav, Tabriz, Iran</t>
  </si>
  <si>
    <t>Payame Noor University; Ferdowsi University Mashhad; University of Tabriz</t>
  </si>
  <si>
    <t>Bonab, HS (corresponding author), Payame Noor Univ PNU, Dept Phys Educ, Motor Behav, POB 19395-4697, Tehran 5174834883, Iran.</t>
  </si>
  <si>
    <t>h_sepehri@pnu.ac.ir</t>
  </si>
  <si>
    <t>Sepehri Bonab, hasan/GNM-9184-2022; Behzadnia, Behzad/E-5790-2017</t>
  </si>
  <si>
    <t>Sepehri, hasan/0000-0002-3413-0845</t>
  </si>
  <si>
    <t>University of Payme Noor; Ministry of Education</t>
  </si>
  <si>
    <t>We would like to express our gratitude to the children who participated in our research, as well as to the parents, center staff, and authorities who granted permission for the study to be conducted. Furthermore, the study is supported by both the University of Payme Noor and the Ministry of Education, emphasizing the credibility of the research conducted within institutions dedicated to education or research.</t>
  </si>
  <si>
    <t>2161-783X</t>
  </si>
  <si>
    <t>2161-7856</t>
  </si>
  <si>
    <t>GAMES HEALTH J</t>
  </si>
  <si>
    <t>Games Health J.</t>
  </si>
  <si>
    <t>APR 1</t>
  </si>
  <si>
    <t>10.1089/g4h.2023.0240</t>
  </si>
  <si>
    <t>Health Policy &amp; Services; Public, Environmental &amp; Occupational Health; Rehabilitation</t>
  </si>
  <si>
    <t>Health Care Sciences &amp; Services; Public, Environmental &amp; Occupational Health; Rehabilitation</t>
  </si>
  <si>
    <t>0WS4P</t>
  </si>
  <si>
    <t>WOS:001285352000001</t>
  </si>
  <si>
    <t>Cerasuolo, M; De Marco, S; Nappo, R; Simeoli, R; Rega, A</t>
  </si>
  <si>
    <t>Cerasuolo, Mariangela; De Marco, Stefania; Nappo, Raffaele; Simeoli, Roberta; Rega, Angelo</t>
  </si>
  <si>
    <t>The Potential of Virtual Reality to Improve Diagnostic Assessment by Boosting Autism Spectrum Disorder Traits: A Systematic Review</t>
  </si>
  <si>
    <t>Virtual reality; Autism spectrum disorder; Diagnosis; Machine learning; Assessment</t>
  </si>
  <si>
    <t>PROCESSING ASSESSMENT; SOCIAL COMMUNICATION; AUGMENTED REALITY; CHILDREN; ENVIRONMENTS; ADOLESCENTS; INDIVIDUALS; MOTIVATION; INTERVIEW; THERAPY</t>
  </si>
  <si>
    <t>ObjectivesWhile studies examining the effectiveness of virtual reality (VR) systems in autism spectrum disorder (ASD) intervention have seen significant growth, research on their application as tools to improve assessment and diagnosis remains limited. This systematic review explores the potential of VR systems in speeding-up and enhancing the assessment process for ASD.MethodsWe conducted a systematic search of peer-reviewed research to identify studies that compared characteristics of autistic and neurotypical participants performing tasks in virtual environments. Pubmed and IEE Xplore databases were searched and screened using predetermined keywords and inclusion criteria related to ASD and virtual reality, resulting in the inclusion of 20 studies.ResultsStudies reviewed revealed that VR technologies may serve as a booster of ASD traits that might otherwise go unnoticed when using traditional tools. Specifically, results indicated that ASD individuals exhibited distinct behavioral nuances compared to typically developing participants across four main domains: communication and social interaction skills, cognitive functioning and neurological pattern, sensory and physiological processing, and motor behavior and body movements. Also, recent studies analyzed here underscored the potential of integrating machine learning with VR technologies to enhance accuracy in identifying ASD based on motor behavior, eye gaze, and electrodermal activity.ConclusionsThe integration of VR technologies can complement traditional tools in ASD diagnosis, providing more objective and reliable assessment within a controlled, ecological, and motivating virtual environment. In addition, the reviewed literature suggests machine learning models combined with VR technologies may support phenotypic diagnosis, offering a more refined classification of ASD subgroups within immersive virtual contexts.</t>
  </si>
  <si>
    <t>[Cerasuolo, Mariangela; De Marco, Stefania; Nappo, Raffaele; Simeoli, Roberta; Rega, Angelo] Neapolisanit SRL Rehabil Ctr, I-80044 Ottaviano, Italy; [Cerasuolo, Mariangela] Assoc Italiana Assistenza Spast Onlus Sez Cicciano, I-80033 Cicciano, Italy; [Cerasuolo, Mariangela] Univ Ostrava, Fac Med, Ostrava 70103, Czech Republic; [De Marco, Stefania; Nappo, Raffaele] Univ Campania Luigi Vanvitelli, Dept Psychol, Caserta, Italy; [Simeoli, Roberta] Univ Naples Federico II, Dept Humanist Studies, Naples, Italy; [Rega, Angelo] Pegaso Telemat Univ, Dept Psychol &amp; Educ Sci, I-80143 Naples, Italy</t>
  </si>
  <si>
    <t>University of Ostrava; Universita della Campania Vanvitelli; University of Naples Federico II; Pegaso Online University</t>
  </si>
  <si>
    <t>Cerasuolo, M (corresponding author), Neapolisanit SRL Rehabil Ctr, I-80044 Ottaviano, Italy.;Cerasuolo, M (corresponding author), Assoc Italiana Assistenza Spast Onlus Sez Cicciano, I-80033 Cicciano, Italy.;Cerasuolo, M (corresponding author), Univ Ostrava, Fac Med, Ostrava 70103, Czech Republic.</t>
  </si>
  <si>
    <t>mariangela.cerasuolo@gmail.com</t>
  </si>
  <si>
    <t>Nappo, Raffaele/AGK-3811-2022; Rega, Angelo/AAP-7044-2020; Simeoli, Roberta/LKJ-2673-2024; Cerasuolo, Mariangela/AGV-9230-2022</t>
  </si>
  <si>
    <t>Cerasuolo, Mariangela/0000-0002-4178-4695</t>
  </si>
  <si>
    <t>10.1007/s41252-024-00413-1</t>
  </si>
  <si>
    <t>W9J0H</t>
  </si>
  <si>
    <t>WOS:001283861100001</t>
  </si>
  <si>
    <t>Pivotto, ID; Matias, V; Ferreira, WD</t>
  </si>
  <si>
    <t>Pivotto, Isabelle Dabat; Matias, Vitor; Ferreira, William de Paula</t>
  </si>
  <si>
    <t>CAVE automatic virtual environment technology to enhance social participation of autistic people: A classification and literature review</t>
  </si>
  <si>
    <t>Autism Spectrum Disorder; CAVE Automatic Virtual Environment; Blue room; Magic room; Immersive room; Virtual Reality; Social skills; Social participation; Immersive inclusive leisure</t>
  </si>
  <si>
    <t>SPECTRUM DISORDER; CONTROL-SYSTEMS; REALITY SYSTEM; CHILDREN; DISABILITIES; SKILLS; STUDENTS; INTERVENTION; TAXONOMY; DESIGN</t>
  </si>
  <si>
    <t>CAVE technology enables multi-participant experiences without head-mounted displays, accommodating the sensory sensitivities of autistic people and helping to enhance their social participation in the community. To date, recent studies have primarily identified therapeutic uses, without focusing on the technology's recreational applications. To address this gap in the literature, our study aims to explore how CAVE technology can support the social participation of autistic people. This study was developed following the Preferred Reporting Items for Systematic Reviews and Meta-Analysis (PRISMA 2020) protocol to ensure a robust and rigorous SLR. Results show 1) That there are different types of CAVE technology with numerous potential benefits for autistic people multi-participant engagement, sensory comfort, and customizable learning; 2) That CAVE technologies can enable the development of different social skills distinguishing personal emotions or understanding the intentions of others and adapting to the context. 3) Cost, technical complexity, space requirement, mobility, and learning curve are some of the barriers preventing this technology from being widely used in community or school organizations. In conclusion, this study suggests that CAVE technology can enhance social skills in autistic people and holds promise for innovative and inclusive leisure pursuits tailored for autism inclusion.</t>
  </si>
  <si>
    <t>[Pivotto, Isabelle Dabat; Ferreira, William de Paula] Ecole Technol Super, Dept Syst Engn, 1100 Notre Dame St West, Montreal, PQ H3C 1K3, Canada; [Matias, Vitor] Univ Quebec Montreal, Dept Specialized Educ &amp; Training, 1205 St Denis, Montreal, PQ H2X 3R9, Canada</t>
  </si>
  <si>
    <t>University of Quebec; Ecole de Technologie Superieure - Canada; University of Quebec; University of Quebec Montreal</t>
  </si>
  <si>
    <t>Ferreira, WD (corresponding author), Ecole Technol Super, Dept Syst Engn, 1100 Notre Dame St West, Montreal, PQ H3C 1K3, Canada.</t>
  </si>
  <si>
    <t>isabelle.pivotto-dabat@etsmtl.ca; matias.vitor@uqam.ca; william.ferreira@etsmtl.ca</t>
  </si>
  <si>
    <t>de Paula Ferreira, William/ISS-9774-2023</t>
  </si>
  <si>
    <t>, Isabelle Dabat Pivotto/0009-0002-5939-4043</t>
  </si>
  <si>
    <t>Quebec's Ministe ` re de l'Economie, de l'Innovation et de l'Energie (MEIE) [2022-2026- PSOv2a-ETS-IS-63675]</t>
  </si>
  <si>
    <t>Quebec's Ministe ` re de l'Economie, de l'Innovation et de l'Energie (MEIE)</t>
  </si>
  <si>
    <t>Funding This work was supported by Quebec's Ministe ` re de l'Economie, de l'Innovation et de l'Energie (MEIE) [N/Re f.: 2022-2026- PSOv2a-ETS-IS-63675] .</t>
  </si>
  <si>
    <t>10.1016/j.rasd.2024.102453</t>
  </si>
  <si>
    <t>XR9F2</t>
  </si>
  <si>
    <t>WOS:001263515800001</t>
  </si>
  <si>
    <t>Macpherson, MC; Brown, AJ; Kallen, RW; Richardson, MJ; Miles, LK</t>
  </si>
  <si>
    <t>Macpherson, M. C.; Brown, A. J.; Kallen, R. W.; Richardson, M. J.; Miles, L. K.</t>
  </si>
  <si>
    <t>Partner gaze shapes the relationship between symptoms of psychopathology and interpersonal coordination</t>
  </si>
  <si>
    <t>SOCIAL ANXIETY; GROUP MEMBERSHIP; OSTRACISM; TESTS; MODEL; SCALE; NEED</t>
  </si>
  <si>
    <t>Interpersonal coordination is a key determinant of successful social interaction but can be disrupted when people experience symptoms related to social anxiety or autism. Effective coordination rests on individuals directing their attention towards interaction partners. Yet little is known about the impact of the attentional behaviours of the partner themselves. As the gaze of others has heightened salience for those experiencing social anxiety or autism, addressing this gap can provide insight into how symptoms of these disorders impact coordination. Using a novel virtual reality task, we investigated whether partner gaze (i.e., direct vs. averted) influenced the emergence of interpersonal coordination. Results revealed: (i) spontaneous coordination was diminished in the averted (cf. direct) gaze condition; (ii) spontaneous coordination was positively related to symptoms of social anxiety, but only when partner gaze was averted. This latter finding contrasts the extant literature and points to the importance of social context in shaping the relationship between symptoms of psychopathology and interpersonal coordination.</t>
  </si>
  <si>
    <t>[Macpherson, M. C.; Brown, A. J.; Miles, L. K.] Univ Western Australia, Sch Psychol Sci, Perth, Australia; [Kallen, R. W.; Richardson, M. J.] Macquarie Univ, Sch Psychol Sci &amp; Performance, Sydney, Australia</t>
  </si>
  <si>
    <t>University of Western Australia; Macquarie University</t>
  </si>
  <si>
    <t>Macpherson, MC (corresponding author), Univ Western Australia, Sch Psychol Sci, Perth, Australia.</t>
  </si>
  <si>
    <t>cathy.macpherson@mq.edu.au</t>
  </si>
  <si>
    <t>Miles, Lynden/X-1557-2019; Miles, Lynden/C-5168-2008</t>
  </si>
  <si>
    <t>Miles, Lynden/0000-0002-4164-3470; Macpherson, Margaret Catherine/0000-0003-3434-9334; Kallen, Rachel/0000-0002-0031-737X</t>
  </si>
  <si>
    <t>University of Western Australia (UWA); International Postgraduate Research Scholarship (University of Western Australia); Postgraduate Study Visit Award (British Psychological Society); Research Training Program Scholarship (University of Western Australia) [RAC04-2021]; Raine Medical Research Foundation Collaboration Grant</t>
  </si>
  <si>
    <t>University of Western Australia (UWA); International Postgraduate Research Scholarship (University of Western Australia); Postgraduate Study Visit Award (British Psychological Society); Research Training Program Scholarship (University of Western Australia); Raine Medical Research Foundation Collaboration Grant</t>
  </si>
  <si>
    <t>This research was partially supported by an International Postgraduate Research Scholarship (University of Western Australia) and a Postgraduate Study Visit Award (British Psychological Society) awarded to Margaret Catherine Macpherson, a Research Training Program Scholarship (University of Western Australia) awarded to Amber Brown, and a Raine Medical Research Foundation Collaboration Grant (RAC04-2021) awarded to Margaret Catherine Macpherson, Rachel Kallen, Michael Richardson and Lynden K. Miles. We are grateful to Brittany Ryan for assistance with piloting and study preparation.</t>
  </si>
  <si>
    <t>JUN 21</t>
  </si>
  <si>
    <t>10.1038/s41598-024-65139-5</t>
  </si>
  <si>
    <t>WM1A7</t>
  </si>
  <si>
    <t>WOS:001255183000044</t>
  </si>
  <si>
    <t>Romero-Ayuso, DM; Franchella, MC; Fonseca, P; Gervilla, P; Triviño-Juárez, JM; Gea-Mejías, M</t>
  </si>
  <si>
    <t>Romero-Ayuso, Dulce Maria; Franchella, Maria Constanza; Fonseca, Priscilla; Gervilla, Pablo; Trivino-Juarez, Jose Matias; Gea-Mejias, Miguel</t>
  </si>
  <si>
    <t>TEAttention!: A pilot study of occupational therapy and virtual reality for improving school participation in children with autism spectrum disorder</t>
  </si>
  <si>
    <t>JOURNAL OF OCCUPATIONAL THERAPY SCHOOLS AND EARLY INTERVENTION</t>
  </si>
  <si>
    <t>Autism; occupational therapy; virtual reality; sensory processing; sensory profile; school; children</t>
  </si>
  <si>
    <t>ADOLESCENTS; CLASSROOM</t>
  </si>
  <si>
    <t>One of the environments that child with autism spectrum disorder (ASD) find particularly challenging is school, which has an impact on their involvement. Virtual reality (VR) could provide appropriate repetitive or difficulty-controlled experiences relevant for children with ASD, where the environment's constancy can be crucial to facilitating their adaptation and participation. This study aimed to explore whether an intervention called TEAttention! using a combination of a VR system and sensory processing strategies could be beneficial for improving participation in children with ASD in the school environment. The study used a pre- and post-intervention methodology. The participants were five students with ASD enrolled in a primary school. The Sensory Profile-2, unstructured observations and the System of Usability Scales were used. The TEAttention! program showed good usability for occupational therapists and teachers, and the children exhibited increased participation at school, improving their play, communication, and social relationships. VR could be a motivating and supportive component of therapies for children with ASD that could enhance their focus and comprehension of the sensory environment.</t>
  </si>
  <si>
    <t>[Romero-Ayuso, Dulce Maria; Franchella, Maria Constanza; Fonseca, Priscilla] Univ Granada, Fac Ciencias Salud, Dept Physiotherapy, Occupat Therapy, Granada 18012, Spain; [Romero-Ayuso, Dulce Maria] Univ Granada, CIMCYC Mind Brain &amp; Behav Res Ctr, Granada, Spain; [Romero-Ayuso, Dulce Maria] Inst Invest Biosanitaria Ibs Granada, Res Ctr, Granada, Spain; [Gervilla, Pablo; Gea-Mejias, Miguel] Univ Granada, Dept Software Engn, ETS Ingn Informat &amp; Telecomunicac, Granada, Spain; [Trivino-Juarez, Jose Matias] Univ Granada, Fac Med, Dept Radiol &amp; Phys Med, Granada, Spain</t>
  </si>
  <si>
    <t>University of Granada; University of Granada; Instituto de Investigacion Biosanitaria IBS Granada; University of Granada; University of Granada</t>
  </si>
  <si>
    <t>Romero-Ayuso, DM (corresponding author), Univ Granada, Fac Ciencias Salud, Dept Physiotherapy, Occupat Therapy, Granada 18012, Spain.</t>
  </si>
  <si>
    <t>dulceromero@ugr.es</t>
  </si>
  <si>
    <t>Romero-Ayuso, Dulce/AAI-1652-2019</t>
  </si>
  <si>
    <t>Trivino-Juarez, Jose-Matias/0000-0002-0988-3191; Romero-Ayuso, Dulce Maria/0000-0002-2479-8913</t>
  </si>
  <si>
    <t>Spanish Ministry of Science and Innovation [PID2019-105951RB-I00/AEI/10.13039/501100011033]</t>
  </si>
  <si>
    <t>Spanish Ministry of Science and Innovation(Ministry of Science and Innovation, Spain (MICINN)Spanish Government)</t>
  </si>
  <si>
    <t>This study was co-funded by the Spanish Ministry of Science and Innovation, project IndiGo! number PID2019-105951RB-I00/AEI/10.13039/501100011033.</t>
  </si>
  <si>
    <t>1941-1243</t>
  </si>
  <si>
    <t>1941-1251</t>
  </si>
  <si>
    <t>J OCC THER SCH EARLY</t>
  </si>
  <si>
    <t>J. Occup. Ther. Sch. Early. Interv.</t>
  </si>
  <si>
    <t>2024 MAY 13</t>
  </si>
  <si>
    <t>10.1080/19411243.2024.2351477</t>
  </si>
  <si>
    <t>Psychology, Educational</t>
  </si>
  <si>
    <t>QL7L0</t>
  </si>
  <si>
    <t>WOS:001221093200001</t>
  </si>
  <si>
    <t>Ghouri, EURK; Memon, AG; Ali, S; Adnan, Q; Tahir, S</t>
  </si>
  <si>
    <t>Ghouri, Ebad-ur-Rehman Khan; Memon, Aamir Gul; Ali, Saima; Adnan, Quratulain; Tahir, Saira</t>
  </si>
  <si>
    <t>Effects of Virtual Reality on Static and Dynamic Balance among Individuals with Down Syndrome</t>
  </si>
  <si>
    <t>JOURNAL OF THE LIAQUAT UNIVERSITY OF MEDICAL AND HEALTH SCIENCES</t>
  </si>
  <si>
    <t>Down syndrome; Postural balance; Quality of life; Virtual Reality</t>
  </si>
  <si>
    <t>OBJECTIVE: To determine the effects of virtual reality on static and dynamic balance among individuals METHODOLOGY: A quasi-experimental study was conducted at Imran Rehabilitation Center, Karachi, Pakistan, from Nov 2020 to April 2021 through a randomized sampling technique. Twenty-four Down syndrome individuals between 6 and 9 years of Age were included. Children who could stand and walk independently, comprehend the instructions and were diagnosed with 50% to 70% IQ level (assessed using the Stanford Binet Intelligence Scale) were included. In contrast, DS children with autism, impaired vision or hearing loss and any associated neurological disorders, i.e. Epilepsy, muscular dystrophies and traumatic brain injury (TBI), were excluded. Data was analyzed using the SPSS version 23. RESULTS: Group A (n=12) participants had a mean age of 8.08 +/- 0.79 years, and Group B (n=12) participants had a mean age of 7.61 +/- 0.94 years. Both groups had similar gestational Age and IQ levels. The Pediatric Balance Scale (PBS) and Rhomberg test assessed balance and motor control. Withingroup analysis revealed significant improvements in both groups for PBS scores. Group analysis did not demonstrate significant differences in the PBS scores or Rhomberg test outcomes. The mean PBS scores for Group A and Group B were 50.33 +/- 2.22 and 49.41 +/- 3.20, respectively. In the Rhomberg test, no significant differences were found between the two groups with eyes open or closed. CONCLUSION: The study concluded that static and dynamic balance was significantly improved in both groups; however, virtual reality group intervention showed a more significant improvement in static balance.</t>
  </si>
  <si>
    <t>[Ghouri, Ebad-ur-Rehman Khan] Sohail Univ, Jinnah Coll Rehabil Sci, Karachi, Sindh, Pakistan; [Memon, Aamir Gul] Riphah Int Univ, Lahore, Punjab, Pakistan; [Ali, Saima; Adnan, Quratulain] Ziaudd Univ, Ziauddin Coll Rehabil Sci, Karachi, Sindh, Pakistan; [Tahir, Saira] Combine Med Ctr, Karachi, Sindh, Pakistan</t>
  </si>
  <si>
    <t>Memon, AG (corresponding author), Riphah Int Univ, Lahore, Punjab, Pakistan.</t>
  </si>
  <si>
    <t>aamir_mmn642@yahoo.com</t>
  </si>
  <si>
    <t>Adnan, Quratulain/LSM-2598-2024</t>
  </si>
  <si>
    <t>LIAQUAT UNIV MEDICAL &amp; HEALTH SCIENCES - LUMHS</t>
  </si>
  <si>
    <t>JAMSHORO</t>
  </si>
  <si>
    <t>LIAQUAT UNIV MEDICAL &amp; HEALTH SCIENCES, JAMSHORO, 00000, PAKISTAN</t>
  </si>
  <si>
    <t>1729-0341</t>
  </si>
  <si>
    <t>J LIAQUAT UNIV MED H</t>
  </si>
  <si>
    <t>J. Liaquat Univ. Med. Health Sci.</t>
  </si>
  <si>
    <t>10.22442/jlumhs.2024.01057</t>
  </si>
  <si>
    <t>Health Care Sciences &amp; Services</t>
  </si>
  <si>
    <t>E9T5J</t>
  </si>
  <si>
    <t>WOS:001306353800006</t>
  </si>
  <si>
    <t>Peretti, S; Pino, MC; Caruso, F; Di Mascio, T</t>
  </si>
  <si>
    <t>Peretti, Sara; Pino, Maria Chiara; Caruso, Federica; Di Mascio, Tania</t>
  </si>
  <si>
    <t>Evaluating the Potential of Immersive Virtual Reality-Based Serious Games Interventions for Autism: A Pocket Guide Evaluation Framework</t>
  </si>
  <si>
    <t>EDUCATION SCIENCES</t>
  </si>
  <si>
    <t>autism spectrum disorder; efficacy; effectiveness; evaluation framework; immersive virtual reality; interventions; serious game</t>
  </si>
  <si>
    <t>SPECTRUM DISORDERS; TEMPORAL RELATIONS; CHILDREN; EFFICACY; DESIGN; INDIVIDUALS; CRITERIA; ADULTS; REHABILITATION; VALIDATION</t>
  </si>
  <si>
    <t>To date, the primary challenge in the field of information and communication technologies-mediated rehabilitative interventions for autism is the lack of evidence regarding efficacy and effectiveness. Although such interventions, particularly those realised with Immersive Virtual Reality-based Serious Games, show promise, clinicians are hesitant to adopt them due to minimal evidence supporting their efficiency and effectiveness. Efficacy refers to whether an intervention produces the expected result under ideal circumstances, while effectiveness measures the degree of beneficial effect in real-world clinical settings. The absence of efficacy and effectiveness evidence undermines the reliability and generalisability of such interventions, which are crucial for real-life settings, making accurate evaluation pivotal. Evaluating the efficacy and effectiveness of these interventions poses a significant challenge due to the absence of evaluation guidelines. A previous study systematically reviewed the evaluation of Immersive Virtual Reality-based Serious Games for autism, revealing incomplete or methodologically problematic evaluation processes. This evidence underpinned the aim of the present study: to propose an Evaluation Framework encompassing all necessary methodological criteria for evaluating the efficacy and effectiveness of such interventions. Disseminating this Evaluation Framework as a pocket guide could facilitate the development of reliable future studies, thereby advancing evidence-based interventions to improve the quality of life for individuals with autism.</t>
  </si>
  <si>
    <t>[Peretti, Sara] Univ Aquila, Ctr Excellence DEWS, I-67100 Laquila, Italy; [Pino, Maria Chiara] Univ Aquila, Dept Biotechnol &amp; Appl Clin Sci, I-67100 Laquila, Italy; [Caruso, Federica; Di Mascio, Tania] Univ Aquila, Dept Informat Engn Comp Sci &amp; Math, I-67100 Laquila, Italy</t>
  </si>
  <si>
    <t>University of L'Aquila; University of L'Aquila; University of L'Aquila</t>
  </si>
  <si>
    <t>Peretti, S (corresponding author), Univ Aquila, Ctr Excellence DEWS, I-67100 Laquila, Italy.</t>
  </si>
  <si>
    <t>sara.peretti@guest.univaq.it; mariachiara.pino@univaq.it; federica.caruso1@univaq.it; tania.dimascio@univaq.it</t>
  </si>
  <si>
    <t>Caruso, Federica/MCJ-2679-2025; Di Mascio, Tania/M-9725-2016</t>
  </si>
  <si>
    <t>Di Mascio, Tania/0000-0002-8069-1168; Peretti, Sara/0000-0001-9784-5816; Caruso, Federica/0000-0002-6167-3896; Pino, Maria Chiara/0000-0003-2657-2122</t>
  </si>
  <si>
    <t>European Union</t>
  </si>
  <si>
    <t>European Union(European Union (EU))</t>
  </si>
  <si>
    <t>2227-7102</t>
  </si>
  <si>
    <t>EDUC SCI</t>
  </si>
  <si>
    <t>Educ. Sci.</t>
  </si>
  <si>
    <t>10.3390/educsci14040377</t>
  </si>
  <si>
    <t>OX7E4</t>
  </si>
  <si>
    <t>WOS:001210633800001</t>
  </si>
  <si>
    <t>Klavina, A; Perez-Fuster, P; Daems, J; Lyhne, CN; Dervishi, E; Pajalic, Z; Oderud, T; Fuglerud, KS; Markovska-Simoska, S; Przybyla, T; Klichowski, M; Stiglic, G; Laganovska, E; Alarcao, SM; Tkaczyk, AH; Sousa, C</t>
  </si>
  <si>
    <t>Klavina, Aija; Perez-Fuster, Patricia; Daems, Jo; Lyhne, Cecilie Norby; Dervishi, Eglantina; Pajalic, Zada; Oderud, Tone; Fuglerud, Kristin S.; Markovska-Simoska, Silvana; Przybyla, Tomasz; Klichowski, Michal; Stiglic, Gregor; Laganovska, Egija; Alarcao, Soraia M.; Tkaczyk, Alan H.; Sousa, Carla</t>
  </si>
  <si>
    <t>The use of assistive technology to promote practical skills in persons with autism spectrum disorder and intellectual disabilities: A systematic review</t>
  </si>
  <si>
    <t>DIGITAL HEALTH</t>
  </si>
  <si>
    <t>Digital health; technology; autism spectrum disorder; intellectual disability; systematic review</t>
  </si>
  <si>
    <t>QUALITY-OF-LIFE; SOCIAL-PARTICIPATION; ADOLESCENTS; INCLUSION; PEOPLE; ADULTS; CHILDREN; SUPPORT; ENHANCE; TOOLS</t>
  </si>
  <si>
    <t>Persons with autism spectrum disorder (ASD) and/or intellectual disability (ID) have difficulties in planning, organising and coping with change, which impedes the learning of daily living skills (DLSs), social participation and self-management across different environmental settings. Assistive technologies (ATs) is a broad term encompassing devices and services designed to support individuals with disabilities, and if used in a self-controlled manner, they may contribute inclusion in all domains of participation. This comprehensive literature review aims to critically assess and unify existing research that investigates the use of assistive technology within the practical domain for individuals with ASD and/or ID. The 18 relevant studies included in this review highlighted the benefits of AT for social participation and independence in daily activities of individuals with ASD and/or ID. Professionals working with this target group should be knowledgeable of the speedy progress of AT products and the potential of persons with ASD and/or ID to use mainstream devices to meet their individual needs. This awareness provides an opportunity to advocate for the universal benefits of AT for everyone. Technologies such as virtual reality, mobile applications and interactive software have been shown to improve DLSs, communication and social interaction. These tools offer engaging, user-friendly platforms that address the specific needs of these individuals, enhancing their learning and independence.</t>
  </si>
  <si>
    <t>[Klavina, Aija] Riga Stradins Univ, Lab Sports &amp; Nutr Res, Riga, Latvia; [Klavina, Aija] Lithuanian Sports Univ, Dept Hlth Promot &amp; Rehabil Kaunas, Kaunas, Lithuania; [Perez-Fuster, Patricia] Univ Valencia, Fac Psychol &amp; Speech Therapy, Dept Dev &amp; Educ Psychol, Valencia, Spain; [Daems, Jo] Thomas More Univ Appl Sci, Ctr Expertise Care &amp; Well Being Mobilab &amp; Care, Dept Human CARE, Geel, Belgium; [Lyhne, Cecilie Norby] Aarhus Univ, Dept Publ Hlth, Aarhus, Denmark; [Dervishi, Eglantina] Univ Tirana, Fac Social Sci, Dept Psychol &amp; Pedag, Tirana, Albania; [Pajalic, Zada] VID Specialized Univ, Oslo, Norway; [Oderud, Tone] SINTEF Digital, Dept Hlth Res, Oslo, Norway; [Fuglerud, Kristin S.] Norsk Regnesentral Norwegian Comp Ctr, Norsk Regnesentral, Dept Appl Res Technol, N-0373 Oslo, Norway; [Markovska-Simoska, Silvana] Macedonian Acad Sci &amp; Arts, Clin Nephrol, Skopje, North Macedonia; [Przybyla, Tomasz; Klichowski, Michal] Adam Mickiewicz Univ, Cognit Neurosci Ctr, Poznan, Poland; [Przybyla, Tomasz; Klichowski, Michal] Adam Mickiewicz Univ, Fac Educ Studies, Learning Lab, Poznan, Poland; [Stiglic, Gregor] Univ Maribor, Maribor, Slovenia; [Laganovska, Egija] Univ Latvia Riga, Fac Pedag Psychol &amp; Art, Riga, Latvia; [Alarcao, Soraia M.] Univ Lisbon, Fac Ciencias, LASIGE, Lisbon, Portugal; [Tkaczyk, Alan H.] Univ Tartu, Inst Technol, Tartu, Estonia; [Sousa, Carla] Lusofona Univ, CICANT, Porto, Portugal</t>
  </si>
  <si>
    <t>Riga Stradins University; Lithuanian Sports University; University of Valencia; Aarhus University; University of Tirana (UT); VID Specialised University; SINTEF; Adam Mickiewicz University; Adam Mickiewicz University; University of Maribor; Universidade de Lisboa; University of Tartu; Lusofona University</t>
  </si>
  <si>
    <t>Klavina, A (corresponding author), Riga Stradins Univ, Lab Sports &amp; Nutr Res, Riga, Latvia.;Klavina, A (corresponding author), Lithuanian Sports Univ, Dept Hlth Promot &amp; Rehabil, Kaunas, Lithuania.</t>
  </si>
  <si>
    <t>aija.klavina@gmail.com</t>
  </si>
  <si>
    <t>Alarcão, Soraia/T-5114-2019; Lyhne, Cecilie Nørby/GPT-2902-2022; Dervishi, Eglantina/A-9575-2019; Laganovska, Egija/AAA-8827-2019; Pajalic, Zada/LFV-1818-2024; Przybyła, Tomasz/AGD-0971-2022; Pérez-Fuster, Patricia/AFM-1109-2022; Markovska-Simoska, Silvana/AAG-2635-2019; Daems, Jo/JJG-3040-2023; Sousa, Carla/ABV-8295-2022; Klichowski, Michal/W-3603-2018; Dervishi, Eglantina/T-6964-2018; Pajalic, Zada/F-6986-2014</t>
  </si>
  <si>
    <t>Klavina, Aija/0000-0003-1959-9941; Przybyla, Tomasz/0000-0002-8309-6559; Sousa, Carla/0000-0003-1036-963X; Daems, Jo/0000-0001-5302-6958; Laganovska, Egija/0000-0002-6199-5051; Lyhne, Cecilie Norby/0000-0001-8380-7704; Markovska-Simoska, Silvana/0000-0002-9403-7343; Klichowski, Michal/0000-0002-1614-926X; Dervishi, Eglantina/0000-0003-1015-1948; Pajalic, Zada/0000-0001-9656-1926</t>
  </si>
  <si>
    <t>European Cooperation in Science and Technology [CA19104]; COST (European Cooperation in Science and Technology)</t>
  </si>
  <si>
    <t>European Cooperation in Science and Technology(European Cooperation in Science and Technology (COST)); COST (European Cooperation in Science and Technology)(European Cooperation in Science and Technology (COST))</t>
  </si>
  <si>
    <t>This article or publication is based upon the work from the COST Action a-STEP: advancing Social Inclusion through Technology and EmPowerment-CA19104 (https://www.a-step-action.eu), supported by COST (European Cooperation in Science and Technology; https://www.cost.eu).</t>
  </si>
  <si>
    <t>2055-2076</t>
  </si>
  <si>
    <t>DIGIT HEALTH</t>
  </si>
  <si>
    <t>Digit. Health</t>
  </si>
  <si>
    <t>10.1177/20552076241281260</t>
  </si>
  <si>
    <t>Health Care Sciences &amp; Services; Health Policy &amp; Services; Public, Environmental &amp; Occupational Health; Medical Informatics</t>
  </si>
  <si>
    <t>N3W1T</t>
  </si>
  <si>
    <t>WOS:001363672200001</t>
  </si>
  <si>
    <t>Yu, CY; Wang, SH; Zhang, D; Zhang, YY; Cen, CQ; You, ZX; Zou, XB; Deng, HZ; Li, M</t>
  </si>
  <si>
    <t>Yu, Chengyan; Wang, Shihuan; Zhang, Dong; Zhang, Yingying; Cen, Chaoqun; You, Zhixiang; Zou, Xiaobing; Deng, Hongzhu; Li, Ming</t>
  </si>
  <si>
    <t>HSVRS: A Virtual Reality System of the Hide-and-Seek Game to Enhance Gaze Fixation Ability for Autistic Children</t>
  </si>
  <si>
    <t>Avatars; Games; Virtual reality; Autism; Virtual environments; Deepfakes; Audio recording; digital intervention; gaze tracking; virtual reality (VR); voice conversion</t>
  </si>
  <si>
    <t>MOST PROMPTING PROCEDURE; SPECTRUM DISORDER; YOUNG-CHILDREN; EYE-TRACKING; COMMUNICATION; REINFORCERS; LEAST; INTERVENTION; ACQUISITION; ATTENTION</t>
  </si>
  <si>
    <t>Numerous children diagnosed with autism spectrum disorder (ASD) exhibit abnormal eye gaze pattern in communication and social interaction. In this study, we aim to investigate the effectiveness of the hide-and-seek virtual reality system (HSVRS) in improving gaze fixation abilities in children with ASD. Our hypothesis is that engaging in a hide-and-seek game within a virtual environment, particularly with a customized avatar resembling a familiar figure, would significantly enhance gaze fixation skills compared to traditional interventions without supplementary virtual reality (VR) intervention. In total, 36 children with ASD were involved in this pilot study in three groups: the avatar customized group, the avatar uncustomized group, and the control group. The control group only received human intervention, while the avatar group received additional VR-assisted interventions. The effect of HSVRS was measured by a six-point Likert subjective questionnaire and demonstrated significant improvements in gaze fixation abilities in the VR-assisted intervention groups compared to the control group (P= 0.006, 0.001). Moreover, the avatar customized group, which interacted with a familiar-looking avatar, obtained noticeable increments in gaze fixation metrics (P = 0.036, 0.005, 0.001). Experimental results show the effectiveness of utilizing VR technology to complement regular interventions in terms of improving gaze fixation abilities for young children with ASD.</t>
  </si>
  <si>
    <t>[Yu, Chengyan; Zhang, Dong] Sun Yat Sen Univ, Sch Elect &amp; Informat Technol, Guangzhou 510006, Peoples R China; [Wang, Shihuan; Zhang, Yingying; Cen, Chaoqun; Zou, Xiaobing; Deng, Hongzhu] Sun Yat Sen Univ, Affiliated Hosp 3, Child Dev &amp; Behav Ctr, Guangzhou 510630, Peoples R China; [You, Zhixiang] JazzVis Tech Co Sci &amp; Technol City, Jiaxing 314016, Peoples R China; [Li, Ming] Duke Kunshan Univ, Data Sci Res Ctr, Suzhou Municipal Key Lab Multimodal Intelligent Sy, Kunshan 215316, Peoples R China</t>
  </si>
  <si>
    <t>Sun Yat Sen University; Sun Yat Sen University; Duke Kunshan University</t>
  </si>
  <si>
    <t>Deng, HZ (corresponding author), Sun Yat Sen Univ, Affiliated Hosp 3, Child Dev &amp; Behav Ctr, Guangzhou 510630, Peoples R China.;Li, M (corresponding author), Duke Kunshan Univ, Data Sci Res Ctr, Suzhou Municipal Key Lab Multimodal Intelligent Sy, Kunshan 215316, Peoples R China.</t>
  </si>
  <si>
    <t>yuchy33@mail2.sysu.edu.cn; wangshh53@mail.sysu.edu.cn; zhangd@mail.sysu.edu.cn; summer09251228@163.com; cenchq@mail.sysu.edu.cn; zhx.you@gmail.com; zouxb@vip.tom.com; denghzh@mail.sysu.edu.cn; ming.li369@dukekunshan.edu.cn</t>
  </si>
  <si>
    <t>Zou, Xiaobing/F-2700-2015</t>
  </si>
  <si>
    <t>Li, Ming/0000-0002-6406-1983; Zhang, Dong/0000-0003-0825-3400</t>
  </si>
  <si>
    <t>Science and Technology Program of Guangzhou City [202007030011]; National Natural Science Foundation of China [62171207, 81873801, 62173353]; DKU Synear and Wang-Cai Seed Grant</t>
  </si>
  <si>
    <t>Science and Technology Program of Guangzhou City; National Natural Science Foundation of China(National Natural Science Foundation of China (NSFC)); DKU Synear and Wang-Cai Seed Grant</t>
  </si>
  <si>
    <t>This work was supported in part by the Science and Technology Program of Guangzhou City under Grant 202007030011, in part by the National Natural Science Foundation of China under Grant 62171207,Grant 81873801, and Grant 62173353, and in part by DKU Synear and Wang-Cai Seed Grant.</t>
  </si>
  <si>
    <t>10.1109/TLT.2024.3451462</t>
  </si>
  <si>
    <t>F6W2H</t>
  </si>
  <si>
    <t>WOS:001311192900001</t>
  </si>
  <si>
    <t>Kim, T; Kirk, TN</t>
  </si>
  <si>
    <t>Kim, Taewoo; Kirk, T. N.</t>
  </si>
  <si>
    <t>Online and Mobile-Technology-Facilitated Movement Interventions Among Disability Populations: A Scoping Review</t>
  </si>
  <si>
    <t>KINESIOLOGY REVIEW</t>
  </si>
  <si>
    <t>mHealth; telehealth; mobile apps; exercise; motor skills</t>
  </si>
  <si>
    <t>PHYSICAL-ACTIVITY; EXERCISE INTERVENTION; CHILDREN; PEOPLE; FEASIBILITY; PERFORMANCE; ADOLESCENTS</t>
  </si>
  <si>
    <t>In 2017, Lai et al. identified fi ed technology use as a potentially useful means of delivering movement-based interventions to improve physical activity outcomes for individuals with disabilities. Therefore, the purpose of this scoping review was to summarize technology-facilitated movement interventions using remote (i.e., phone-, internet-, or app-based) technology for people with disabilities. Electronic database searches yielded 15 relevant intervention studies published between 2016 and 2022. Studies centered on various disability populations (e.g., autism, intellectual disabilities, and mobility impairments), used several technology-facilitated approaches (e.g., app-based, telehealth-based, online-based, and virtual-reality-enhanced), and included a range of outcome variables (e.g., physical activity, motor skills, body composition, and program efficacy). fi cacy). Findings indicate that in the years since the previous review, technology-facilitated interventions have become more frequent, and future research should continue to develop and refine fi ne such interventions to increase their accessibility and effectiveness for disability populations.</t>
  </si>
  <si>
    <t>[Kim, Taewoo; Kirk, T. N.] Univ Georgia, Athens, GA 30602 USA</t>
  </si>
  <si>
    <t>University System of Georgia; University of Georgia</t>
  </si>
  <si>
    <t>Kirk, TN (corresponding author), Univ Georgia, Athens, GA 30602 USA.</t>
  </si>
  <si>
    <t>tnk51820@uga.edu</t>
  </si>
  <si>
    <t>Kim, Taewoo/0000-0003-0696-5957; Kirk, T N/0000-0002-8663-5589</t>
  </si>
  <si>
    <t>HUMAN KINETICS PUBL INC</t>
  </si>
  <si>
    <t>CHAMPAIGN</t>
  </si>
  <si>
    <t>1607 N MARKET ST, PO BOX 5076, CHAMPAIGN, IL 61820-2200 USA</t>
  </si>
  <si>
    <t>2163-0453</t>
  </si>
  <si>
    <t>2161-6035</t>
  </si>
  <si>
    <t>KINESIOL REV</t>
  </si>
  <si>
    <t>Kinesiol. Rev.</t>
  </si>
  <si>
    <t>10.1123/kr.2022-0049</t>
  </si>
  <si>
    <t>Sport Sciences</t>
  </si>
  <si>
    <t>E0D5Q</t>
  </si>
  <si>
    <t>WOS:001299798600004</t>
  </si>
  <si>
    <t>Parkinson, S; Schumann, S; Taylor, A; Fenton, C; Kearney, G; Garside, M; Johnston, D</t>
  </si>
  <si>
    <t>Parkinson, Sarah; Schumann, Sophie; Taylor, Amelia; Fenton, Clare; Kearney, Gavin; Garside, Megan; Johnston, Daniel</t>
  </si>
  <si>
    <t>SoundFields: A Virtual Reality Home-Based Intervention for Auditory Hypersensitivity Experienced by Autistic Children</t>
  </si>
  <si>
    <t>autism; neurodivergence; auditory; hypersensitivity; children and young people; virtual reality; serious games; digital intervention</t>
  </si>
  <si>
    <t>SPECTRUM DISORDER; SPATIAL AUDIO; PATTERNS; ADOLESCENTS; FRIENDSHIP; STIMULI</t>
  </si>
  <si>
    <t>Previous studies have shown that autistic people often display atypical responses when processing sensory information, with particular prevalence within the auditory domain. Often provoked by common everyday sounds, auditory hypersensitivity can result in self-regulatory fear responses. This can be potentially harmful to autistic individuals and the people around them and is associated with greater occurrence of anxiety, depression, and poorer overall quality of life in the autistic population. Rather than a physiological causation, the literature suggests that hypersensitivity to sound is likely to be caused by how auditory stimuli are processed in the brain. This paper reports a home-based digital intervention aimed to address auditory hypersensitivity in autistic children. Developed as an interactive virtual reality game, the system integrates exposure-based therapy techniques into game mechanics and delivers target auditory stimuli to the player rendered via binaural-based spatial audio. The performance of the platform was evaluated in a 10-week feasibility study, during which children (n = 7) engaged weekly with the game during a 30 min session. Following this period, a comparison of pre- and post-study measurements showed a decrease in sensitivity for five participants, with qualitative feedback highlighting an increase in tolerance towards real-world stimuli and challenging environments. These results provide initial support for SoundFields as a home-based intervention targeting auditory hypersensitivity experienced by autistic children.</t>
  </si>
  <si>
    <t>[Parkinson, Sarah; Schumann, Sophie; Taylor, Amelia; Fenton, Clare; Garside, Megan] Leeds &amp; York Partnership NHS Fdn Trust, IT Ctr, COMIC Research, York Sci Pk, Innovat Way, York YO10 5NP, England; [Kearney, Gavin; Johnston, Daniel] Univ York, Sch Phys Engn &amp; Technol, AudioLab, Commun Technol Res Grp, York YO10 5DD, England</t>
  </si>
  <si>
    <t>University of York - UK</t>
  </si>
  <si>
    <t>Johnston, D (corresponding author), Univ York, Sch Phys Engn &amp; Technol, AudioLab, Commun Technol Res Grp, York YO10 5DD, England.</t>
  </si>
  <si>
    <t>Fenton, Clare/GYR-1306-2022</t>
  </si>
  <si>
    <t>Fenton, Clare/0000-0002-2319-1626; Garside, Megan/0000-0001-5250-2326; Johnston, Daniel/0000-0002-6427-5383; Kearney, Gavin Cyril/0000-0002-0692-236X; Schumann, Sophie/0000-0002-0227-1360</t>
  </si>
  <si>
    <t>National Institute for Health and Care Research; [NIHR203828]</t>
  </si>
  <si>
    <t>National Institute for Health and Care Research;</t>
  </si>
  <si>
    <t>This report is independent research funded by the National Institute for Health and Care Research (i4i Connect 5 &amp; Digital Health Technologies for Children and Young People's Mental Health. SOUNDFIELDS: A Virtual Reality Therapeutic Framework for Children with Autistic Spectrum Disorder. NIHR203828). The views expressed in this publication are those of the author(s) and not necessarily those of the NHS, the National Institute for Health and Care Research, or the Department of Health and Social Care.</t>
  </si>
  <si>
    <t>JUN 2</t>
  </si>
  <si>
    <t>10.3390/app13116783</t>
  </si>
  <si>
    <t>I8LS2</t>
  </si>
  <si>
    <t>WOS:001005251200001</t>
  </si>
  <si>
    <t>Adiani, D; Colopietro, K; Wade, J; Migovich, M; Vogus, TJ; Sarkar, N</t>
  </si>
  <si>
    <t>Adiani, Deeksha; Colopietro, Kelley; Wade, Joshua; Migovich, Miroslava; Vogus, Timothy J.; Sarkar, Nilanjan</t>
  </si>
  <si>
    <t>Dialogue Act Classification via Transfer Learning for Automated Labeling of Interviewee Responses in Virtual Reality Job Interview Training Platforms for Autistic Individuals</t>
  </si>
  <si>
    <t>SIGNALS</t>
  </si>
  <si>
    <t>dialogue act classification; transfer learning; autism spectrum disorder; virtual reality job interviews</t>
  </si>
  <si>
    <t>EMPLOYMENT; ADULTS</t>
  </si>
  <si>
    <t>Computer-based job interview training, including virtual reality (VR) simulations, have gained popularity in recent years to support and aid autistic individuals, who face significant challenges and barriers in finding and maintaining employment. Although popular, these training systems often fail to resemble the complexity and dynamism of the employment interview, as the dialogue management for the virtual conversation agent either relies on choosing from a menu of prespecified answers, or dialogue processing is based on keyword extraction from the transcribed speech of the interviewee, which depends on the interview script. We address this limitation through automated dialogue act classification via transfer learning. This allows for recognizing intent from user speech, independent of the domain of the interview. We also redress the lack of training data for a domain general job interview dialogue act classifier by providing an original dataset with responses to interview questions within a virtual job interview platform from 22 autistic participants. Participants' responses to a customized interview script were transcribed to text and annotated according to a custom 13-class dialogue act scheme. The best classifier was a fine-tuned bidirectional encoder representations from transformers (BERT) model, with an f1-score of 87%.</t>
  </si>
  <si>
    <t>[Adiani, Deeksha; Sarkar, Nilanjan] Vanderbilt Univ, Comp Sci, Nashville, TN 37212 USA; [Colopietro, Kelley; Wade, Joshua; Migovich, Miroslava; Sarkar, Nilanjan] Vanderbilt Univ, Mech Engn, Nashville, TN 37212 USA; [Vogus, Timothy J.] Vanderbilt Univ, Owen Grad Sch Management, Nashville, TN 37203 USA</t>
  </si>
  <si>
    <t>Adiani, D (corresponding author), Vanderbilt Univ, Comp Sci, Nashville, TN 37212 USA.</t>
  </si>
  <si>
    <t>deeksha.m.adiani@vanderbilt.edu; kelley.j.colopietro@vanderbilt.edu; miroslava.migovich@vanderbilt.edu; timothy.j.vogus@vanderbilt.edu; nilanjan.sarkar@vanderbilt.edu</t>
  </si>
  <si>
    <t>Vogus, Tim/N-3820-2016; Migovich, Miroslava/MHQ-9419-2025</t>
  </si>
  <si>
    <t>Vogus, Timothy/0000-0002-3164-8104; Migovich, Miroslava/0000-0002-4819-7901; Adiani, Deeksha/0000-0001-8652-0629</t>
  </si>
  <si>
    <t>2624-6120</t>
  </si>
  <si>
    <t>SIGNALS-BASEL</t>
  </si>
  <si>
    <t>Signals</t>
  </si>
  <si>
    <t>10.3390/signals4020019</t>
  </si>
  <si>
    <t>Engineering, Electrical &amp; Electronic</t>
  </si>
  <si>
    <t>KF1L8</t>
  </si>
  <si>
    <t>WOS:001178450200001</t>
  </si>
  <si>
    <t>Khoirunnisa, AN; Munir; Dewi, L</t>
  </si>
  <si>
    <t>Khoirunnisa, Azizah Nurul; Munir; Dewi, Laksmi</t>
  </si>
  <si>
    <t>Design and Prototype Development of Augmented Reality in Reading Learning for Autism</t>
  </si>
  <si>
    <t>COMPUTERS</t>
  </si>
  <si>
    <t>e-learning; augmented reality; autism; gamification</t>
  </si>
  <si>
    <t>CHILDREN; STUDENTS; SKILLS</t>
  </si>
  <si>
    <t>(1) Background: Augmented reality is no less popular than virtual reality. This technology has begun to be used in education fields, one of which is special education. Merging the real and virtual worlds is the advantage of augmented reality. However, it needs special attention in making software for children with special needs, such as children with autism. This paper presents an application prototype by paying attention to the characteristics of autistic individuals according to the Autism Guide, that has existed in previous studies. (2) Method: The method used in the development of this prototype is the Linear Sequential Model. Application development is made using Unity3D, Vuforia, and Adobe Illustrator by considering accessibility and other conveniences for developers. (3) Results: The prototype was developed with reference to the Autism Guide, then validated by media experts and autistic experts with the results of the assessment obtaining a score of 87.3/100 which is in the Very Good category and is suitable for use. (4) Conclusions: The development of a prototype that refers to the characteristics of children with autism needs to be considered so that what will be conveyed can be easily accepted.</t>
  </si>
  <si>
    <t>[Khoirunnisa, Azizah Nurul; Dewi, Laksmi] Indonesia Univ Educ, Curriculum Dev Study Program, Bandung 40154, Indonesia; [Munir] Indonesia Univ Educ, Comp Sci Educ Study Program, Bandung 40154, Indonesia</t>
  </si>
  <si>
    <t>Universitas Pendidikan Indonesia; Universitas Pendidikan Indonesia</t>
  </si>
  <si>
    <t>Khoirunnisa, AN (corresponding author), Indonesia Univ Educ, Curriculum Dev Study Program, Bandung 40154, Indonesia.</t>
  </si>
  <si>
    <t>azizah@upi.edu</t>
  </si>
  <si>
    <t>Khoirunnisa, Azizah/LDF-8037-2024</t>
  </si>
  <si>
    <t>Khoirunnisa, Azizah Nurul/0000-0002-1118-4509</t>
  </si>
  <si>
    <t>Indonesian Ministry of Education, Culture, Research, and Technology</t>
  </si>
  <si>
    <t>This article fully funded by the Indonesian Ministry of Education, Culture, Research, and Technology through the PMDSU research scheme in 2022.</t>
  </si>
  <si>
    <t>2073-431X</t>
  </si>
  <si>
    <t>Computers</t>
  </si>
  <si>
    <t>10.3390/computers12030055</t>
  </si>
  <si>
    <t>C0LC6</t>
  </si>
  <si>
    <t>WOS:000958928600001</t>
  </si>
  <si>
    <t>Pagliano, A; Ansaldi, B</t>
  </si>
  <si>
    <t>Pagliano, Alessandra; Ansaldi, Barbara</t>
  </si>
  <si>
    <t>DIGITAL VISUALIZATION AND MULTIMEDIA FOR CULTURAL HERITAGE ACCESSIBILITY: DESIGNING FOR ALL VIDEO-TOURS AT THE ARCHAEOLOGICAL NATIONAL MUSEUM OF NAPLES (MANN)</t>
  </si>
  <si>
    <t>SCIRES-IT-SCIENTIFIC RESEARCH AND INFORMATION TECHNOLOGY</t>
  </si>
  <si>
    <t>Design for all; accessibility; inclusion; autism friendly; archaeology; digital illustration; digital animation</t>
  </si>
  <si>
    <t>COMMUNICATION</t>
  </si>
  <si>
    <t>In recent years, drawing disciplines supported by digital technologies have played a fundamental role in the interdisciplinary approach to communication. Digital media and ICT in general are a versatile means of managing and customizing communication at different levels according to the user's personal needs. The paper presents the output of a recent research funded by the Archaeological National Museum of Naples (MANN), which aimed at designing four video-tours, each customized according to the different needs and functioning of a large, diversified target audience, also including users with Autism Spectrum Disorder (ASD) by exploiting the potential of Virtual Reality.</t>
  </si>
  <si>
    <t>[Pagliano, Alessandra; Ansaldi, Barbara] Univ Naples Federico II Naples, Naples, Italy</t>
  </si>
  <si>
    <t>University of Naples Federico II</t>
  </si>
  <si>
    <t>Pagliano, A (corresponding author), Univ Naples Federico II Naples, Naples, Italy.</t>
  </si>
  <si>
    <t>Pagliano, Alessandra/A-4902-2014</t>
  </si>
  <si>
    <t>Ansaldi, Barbara/0009-0003-2563-2290</t>
  </si>
  <si>
    <t>CASPUR-CIBER PUBL</t>
  </si>
  <si>
    <t>ROMA</t>
  </si>
  <si>
    <t>CASPUR-CIBER PUBL, ROMA, 00000, ITALY</t>
  </si>
  <si>
    <t>2239-4303</t>
  </si>
  <si>
    <t>SCIRES-IT</t>
  </si>
  <si>
    <t>10.2423/i22394303v13n2p85</t>
  </si>
  <si>
    <t>Humanities, Multidisciplinary</t>
  </si>
  <si>
    <t>Arts &amp; Humanities - Other Topics</t>
  </si>
  <si>
    <t>EF1G1</t>
  </si>
  <si>
    <t>WOS:001137408500007</t>
  </si>
  <si>
    <t>Prasad, KDV; Kalavakolanu, S</t>
  </si>
  <si>
    <t>Prasad, K. D. V.; Kalavakolanu, Sripathi</t>
  </si>
  <si>
    <t>THE STUDY OF COGNITIVE PSYCHOLOGY IN CONJUNCTION WITH ARTIFICIAL INTELLIGENCE</t>
  </si>
  <si>
    <t>CONHECIMENTO &amp; DIVERSIDADE</t>
  </si>
  <si>
    <t>Artificial intelligence; Cognitive psychology; Children's mental health; Deep learning; Convolutional neural network</t>
  </si>
  <si>
    <t>The major purpose of this research is to provide a thorough review and analysis of the interplay between artificial intelligence (AI) and psychology. I talk about state-of-the-art computer programs that are able to simulate human cognition and behavior (such as Human-Computer Interfaces, models of the mind, and data mining programs). Applications may be broken down into several subcategories and have many different aspects. While developing artificially intelligent robots has been and continues to be the major goal of AI research and development, the widespread acceptance and usage of AI systems have resulted in a much broader transfer of technology. The article begins with a brief history of cognitive psychology, a discussion of its fundamental ideas and models, and a look at the ways in which the study is connected to artificial intelligence (AI). The second part of this article takes a closer look at the difficulties encountered by the field of human-computer interaction, along with its aims, duties, applications, and underlying psychological theories. Multiple scientific, pragmatic, and technical obstacles (complexity problems, disturbing coefficients, etc.) stand in the way of extending or overcoming these limits. We also demonstrate the potential use of mental modeling in the areas of diagnosis, manipulation, and education support in this work. Predictions may be made with the use of data mining, knowledge discovery, or expert systems (for instance, the prognoses of children with mental problems based on their settings). The article reviews the missing features and offers an overview of the coefficients used in the system. Finally, we discuss the application of expert systems and life simulation (applied mental model) in virtual reality to benefit autistic people and their loved ones.</t>
  </si>
  <si>
    <t>[Prasad, K. D. V.] Symbiosis Int, Hyderabad, Telangana, India; [Kalavakolanu, Sripathi] Symbiosis Int, Pune, Maharashtra, India</t>
  </si>
  <si>
    <t>Symbiosis International University; Symbiosis International University</t>
  </si>
  <si>
    <t>Prasad, KDV (corresponding author), Symbiosis Int, Hyderabad, Telangana, India.</t>
  </si>
  <si>
    <t>kdv.prasad@sibmhyd.edu.in; k.sripathi@sibmhyd.edu</t>
  </si>
  <si>
    <t>PRASAD, KDV/AAF-7097-2019; Kalvakolanu, Sripathi/A-2062-2016</t>
  </si>
  <si>
    <t>PRASAD, KDV/0000-0001-9921-476X; Kalvakolanu, Sripathi/0000-0001-8539-4050</t>
  </si>
  <si>
    <t>CENTRO UNIV LA SALLE-RJ</t>
  </si>
  <si>
    <t>RIO DE JANEIRO</t>
  </si>
  <si>
    <t>RUA GASTAO GONCALVES, 79, SALA 401, SANTA ROSA, NITEROI, RIO DE JANEIRO, 24240-030, BRAZIL</t>
  </si>
  <si>
    <t>1983-3695</t>
  </si>
  <si>
    <t>2237-8049</t>
  </si>
  <si>
    <t>CONHECIMENTO DIVERS</t>
  </si>
  <si>
    <t>Conhecimento Divers.</t>
  </si>
  <si>
    <t>10.18316/rcd.v15i36.10788</t>
  </si>
  <si>
    <t>H9LI5</t>
  </si>
  <si>
    <t>WOS:000999087800003</t>
  </si>
  <si>
    <t>Sideraki, A; Drigas, A</t>
  </si>
  <si>
    <t>Sideraki, Angeliki; Drigas, Athanasios</t>
  </si>
  <si>
    <t>Combination of Virtual Reality (VR) and BCI &amp; fMRI in Autism Spectrum Disorder</t>
  </si>
  <si>
    <t>INTERNATIONAL JOURNAL OF ONLINE AND BIOMEDICAL ENGINEERING</t>
  </si>
  <si>
    <t>ASD; Virtual reality; virtual environment; BCI; fMRI; EEG; emotional intelligence</t>
  </si>
  <si>
    <t>ARTIFICIAL-INTELLIGENCE; ICTS; PRESCHOOL; EDUCATION; STUDENTS; GAMES; METACOGNITION; CHILDREN; SUPPORT; ONLINE</t>
  </si>
  <si>
    <t>The combination of virtual reality and fMRI is an innovative methodology that is used to make inferences about the neurological stimulations that take place in the brain of the per-son with ASD during the use of the VR tool. At the same time, the use of the Brain-Computer Interface (BCI) will be important, as it can be used to achieve direct interaction between the person with ASD and the computer. Still, equally important conclusions can be arrived at through the EEG electroencephalogram, also establishing the neurological processes that are carried out during the use of the VR tool. The use of the two technologies mentioned above contributes to presenting in-depth conclusions and data about the emotional state experienced by children with ASD throughout the experimental process and their interaction with the virtual reality tool.</t>
  </si>
  <si>
    <t>[Sideraki, Angeliki; Drigas, Athanasios] NCSR Demokritos, Inst Informat &amp; Telecommun, Net Media Lab Mind &amp; Brain R&amp;D, Athens, Greece</t>
  </si>
  <si>
    <t>Drigas, A (corresponding author), NCSR Demokritos, Inst Informat &amp; Telecommun, Net Media Lab Mind &amp; Brain R&amp;D, Athens, Greece.</t>
  </si>
  <si>
    <t>Sideraki, Angeliki/0009-0002-8324-9348</t>
  </si>
  <si>
    <t>INT ASSOC ONLINE ENGINEERING</t>
  </si>
  <si>
    <t>WIEN</t>
  </si>
  <si>
    <t>KIRCHENGASSE 10-200, WIEN, A-1070, AUSTRIA</t>
  </si>
  <si>
    <t>2626-8493</t>
  </si>
  <si>
    <t>INT J ONLINE BIOMED</t>
  </si>
  <si>
    <t>Int. J. Online Biomed. Eng.</t>
  </si>
  <si>
    <t>10.3991/ijoe.v19i12.37625</t>
  </si>
  <si>
    <t>R6IV9</t>
  </si>
  <si>
    <t>WOS:001065381900006</t>
  </si>
  <si>
    <t>Xu, F; Xu, J; Zhou, DL; Xie, H; Liu, X</t>
  </si>
  <si>
    <t>Xu, Fei; Xu, Jing; Zhou, Daliang; Xie, Hao; Liu, Xuan</t>
  </si>
  <si>
    <t>A Bibliometric and Visualization Analysis of Motor Learning in Preschoolers and Children over the Last 15 Years</t>
  </si>
  <si>
    <t>HEALTHCARE</t>
  </si>
  <si>
    <t>motor learning; motor control; motor development; preschooler; children; knowledge domain visualization; hotspots; emerging trend; CiteSpace</t>
  </si>
  <si>
    <t>DEVELOPMENTAL COORDINATION DISORDER; CEREBRAL-PALSY; EMERGING TRENDS; DEFICITS; FOCUS</t>
  </si>
  <si>
    <t>Motor learning enables preschoolers and children to acquire fundamental skills that are critical to their development. The current study sought to conduct a bibliometric and visualization analysis to provide a comprehensive overview of motor-learning progress in preschoolers and children over the previous 15 years. The number of studies is constantly growing, with the United States and Australia, as well as other productive institutions and authors, at the leading edge. The dominant disciplines were Neurosciences and Neurology, Psychology, Rehabilitation, and Sport Sciences. The journals Developmental Medicine &amp; Child Neurology, Human Movement Science, Physical Therapy, Neuropsychology, Journal of Motor Behavior, and Journal of Experimental Child Psychology have been the most productive and influential in this regard. The most common co-citations for clinical symptoms were for cerebral palsy, developmental coordination disorder, and autism. Research has focused on language impairment (speech disorders, explicit learning, and instructor-control feedback), as well as effective intervention strategies. Advances in brain mechanisms and diagnostic indicators, as well as new intervention and rehabilitation technologies (virtual reality, transcranial magnetic stimulation, and transcranial direct current stimulation), have shifted research frontiers and progress. The cognitive process is critical in intervention, rehabilitation, and new technology implementation and should not be overlooked. Overall, our broad overview identifies three major areas: brain mechanism research, clinical practice (intervention and rehabilitation), and new technology application.</t>
  </si>
  <si>
    <t>[Xu, Fei] Hangzhou Normal Univ, Sch Phys Educ, Hangzhou 311121, Peoples R China; [Xu, Jing; Zhou, Daliang] Nanjing Xiaozhuang Univ, Sch Phys Educ, Nanjing 211171, Peoples R China; [Xie, Hao] Zhejiang Univ Finance &amp; Econ, Dept Phys Educ, Hangzhou 310018, Peoples R China; [Liu, Xuan] Hangzhou Normal Univ, Div Lib &amp; Informat Serv, Hangzhou 311121, Peoples R China</t>
  </si>
  <si>
    <t>Hangzhou Normal University; Nanjing Xiaozhuang University; Zhejiang University of Finance &amp; Economics; Hangzhou Normal University</t>
  </si>
  <si>
    <t>Liu, X (corresponding author), Hangzhou Normal Univ, Div Lib &amp; Informat Serv, Hangzhou 311121, Peoples R China.</t>
  </si>
  <si>
    <t>feixu@hznu.edu.cn; xujing3404@gmail.com; p2007032@njxzc.edu.cn; miki.xie@gmail.com; liuxuan@hznu.edu.cn</t>
  </si>
  <si>
    <t>Xu, Jing/ACX-4232-2022; Xu, Fei/AAD-5920-2022</t>
  </si>
  <si>
    <t>Xie, Hao/0000-0003-3066-7589; Xu, Fei/0000-0001-8989-9603; Xu, Jing/0000-0001-9946-4769</t>
  </si>
  <si>
    <t>Humanities, Social Sciences Project of the Ministry of Education of China [19YJC890050]; Zhejiang Provincial Natural Science Foundation Project [LY18C110002]</t>
  </si>
  <si>
    <t>Humanities, Social Sciences Project of the Ministry of Education of China; Zhejiang Provincial Natural Science Foundation Project</t>
  </si>
  <si>
    <t>This work was supported by grants from the Humanities, Social Sciences Project of the Ministry of Education of China (No. 19YJC890050 to F.X.) and the Zhejiang Provincial Natural Science Foundation Project (No. LY18C110002 to F.X.).</t>
  </si>
  <si>
    <t>2227-9032</t>
  </si>
  <si>
    <t>HEALTHCARE-BASEL</t>
  </si>
  <si>
    <t>Healthcare</t>
  </si>
  <si>
    <t>10.3390/healthcare10081415</t>
  </si>
  <si>
    <t>Health Care Sciences &amp; Services; Health Policy &amp; Services</t>
  </si>
  <si>
    <t>4C5QT</t>
  </si>
  <si>
    <t>WOS:000846508400001</t>
  </si>
  <si>
    <t>Hou, RX; Yang, CJ; Tao, CJ; Fan, YB</t>
  </si>
  <si>
    <t>Hou, Ruixiang; Yang, Chaojuan; Tao, Chunjing; Fan, Yubo</t>
  </si>
  <si>
    <t>Progress in rehabilitation equipment for autism spectrum disorder</t>
  </si>
  <si>
    <t>MEDICINE IN NOVEL TECHNOLOGY AND DEVICES</t>
  </si>
  <si>
    <t>Autism spectrum disorder; Rehabilitation equipment; Therapeutic approaches; Intervention</t>
  </si>
  <si>
    <t>DIRECT-CURRENT STIMULATION; MAGNETIC STIMULATION; VIRTUAL-REALITY; CHILDREN; THERAPY; COMMUNICATION; MECHANISMS; INTERVENTIONS; SYSTEM; ADOLESCENTS</t>
  </si>
  <si>
    <t>Autism spectrum disorder (ASD) is a neurodevelopmental disorder characterized by social interaction deficits, verbal and non-verbal communication difficulties, and restricted interests and repetitive behaviors. ASD has a high morbidity and disability rate. Finding treatment approaches for autism is challenging due to the complex interplay of genetic and environmental factors that contribute to the disorder. Currently, therapeutic approaches include behavioral and pharmacological interventions, and some clinical research focuses on developing equipment for autism rehabilitation. Autism rehabilitation equipment can generally be categorized into social robots, virtual reality systems, physical stimulation devices, and augmentative and alternative communication (AAC) devices, each with different application scenarios and rehabilitation mechanisms. This article summarizes existing equipment and reviews the status of research and development in the field of autism rehabilitation, discussing the principles of the equipment and potential neural mechanisms to find breakthroughs in the treatment of ASD.</t>
  </si>
  <si>
    <t>[Hou, Ruixiang; Yang, Chaojuan; Tao, Chunjing; Fan, Yubo] Beihang Univ, Sch Engn Med, 37 Xueyuan Rd, Beijing, Peoples R China</t>
  </si>
  <si>
    <t>Beihang University</t>
  </si>
  <si>
    <t>Yang, CJ; Tao, CJ (corresponding author), Beihang Univ, Sch Engn Med, 37 Xueyuan Rd, Beijing, Peoples R China.</t>
  </si>
  <si>
    <t>chaojuany@buaa.edu.cn; chunjingtao@buaa.edu.cn</t>
  </si>
  <si>
    <t>2590-0935</t>
  </si>
  <si>
    <t>MED NOV TECHNOL DEV</t>
  </si>
  <si>
    <t>Med. Nov. Technol. Devices</t>
  </si>
  <si>
    <t>10.1016/j.medntd.2025.100365</t>
  </si>
  <si>
    <t>1GK5N</t>
  </si>
  <si>
    <t>WOS:001464415100001</t>
  </si>
  <si>
    <t>Kubo, T; Kato, TA</t>
  </si>
  <si>
    <t>Kubo, Taisei; Kato, Takahiro A.</t>
  </si>
  <si>
    <t>Virtual reality as a novel therapeutic tool in psychiatry: will virtual reality intervention for families rescue hikikomori?</t>
  </si>
  <si>
    <t>CURRENT OPINION IN PSYCHIATRY</t>
  </si>
  <si>
    <t>family support; hikikomori; role-play; social skill training; virtual reality</t>
  </si>
  <si>
    <t>SOCIAL WITHDRAWAL; MENTAL-HEALTH; DEPRESSION; EXPERIENCE; DISORDER; JAPAN</t>
  </si>
  <si>
    <t>Purpose of reviewDigital technology is beginning to revolutionize psychiatry. Virtual reality (VR) allows users to experience a virtual space through their three primary senses. In psychiatry, social skills training (SST), including role-play, has been introduced in occupational therapy to improve patients' social abilities. In face-to-face SST, the therapist's leadership skills and the patient's ability to deal with situations are necessary. VR could resolve such limitations. Herein, we introduce recent advances in VR for psychiatry.Recent findingsThe introduction of VR has improved the social skills of patients with schizophrenia, social anxiety, and autism spectrum disorder. We have introduced VR not only for psychiatric patients themselves but also for their family members to improve their skills in intervening with the patients, especially hard-to-reach patients such as hikikomori (social withdrawal). A pilot trial was conducted involving several family cases living with people with hikikomori, and this approach showed promising effectiveness.SummaryVR has the potential to overcome the problems of conventional treatments by enabling experiential learning. In the future, VR is expected to support not only patients with mental disorders but also to improve the skills of therapists and caregivers, including family members. Empirical research through industry-academia collaboration is desirable for spreading VR-based interventions in psychiatry.</t>
  </si>
  <si>
    <t>[Kubo, Taisei; Kato, Takahiro A.] Kyushu Univ, Grad Sch Med Sci, Dept Neuropsychiat, Fukuoka, Japan; [Kubo, Taisei; Kato, Takahiro A.] Kyushu Univ Hosp, Mood Disorder &amp; Hikikomori Clin, Fukuoka, Japan; [Kubo, Taisei; Kato, Takahiro A.] Kyushu Univ, Hikikomori Res Lab, Fukuoka, Japan</t>
  </si>
  <si>
    <t>Kyushu University; Kyushu University; Kyushu University</t>
  </si>
  <si>
    <t>Kato, TA (corresponding author), Kyushu Univ, Kyushu Univ Hosp, Grad Sch Med Sci, Hikikomori Res Lab,Hiki LabQ,Dept Neuropsychiat,Mo, 3-1-1 Maidashi Higashi Ku, Fukuoka 8128582, Japan.</t>
  </si>
  <si>
    <t>kato.takahiro.015@m.kyushu-u.ac.jp</t>
  </si>
  <si>
    <t>Kubo, Taisei/KIM-6450-2024</t>
  </si>
  <si>
    <t>Japan Society for the Promotion of Science (KAKENHI) [JP22H00494, 23H01044]; Japan Agency for Medical Research and Development (AMED) [JP21wm0425010]; Japan Science and Technology Agency CREST [JPMJCR22N5]</t>
  </si>
  <si>
    <t>Japan Society for the Promotion of Science (KAKENHI)(Ministry of Education, Culture, Sports, Science and Technology, Japan (MEXT)Japan Society for the Promotion of ScienceGrants-in-Aid for Scientific Research (KAKENHI)); Japan Agency for Medical Research and Development (AMED)(Japan Agency for Medical Research and Development (AMED)); Japan Science and Technology Agency CREST(Japan Science &amp; Technology Agency (JST)Core Research for Evolutional Science and Technology (CREST))</t>
  </si>
  <si>
    <t>This study was partially supported by Grant-in-Aid for Scientific Research: (1) The Japan Society for the Promotion of Science (KAKENHI; JP22H00494 and 23H01044 to TAK), (2) The Japan Agency for Medical Research and Development (AMED; JP21wm0425010 to TAK), and (3) the Japan Science and Technology Agency CREST (JPMJCR22N5 to T.A.K.). The funders had no role in study design, data collection and analysis, decision to publish, or preparation of the manuscript.</t>
  </si>
  <si>
    <t>0951-7367</t>
  </si>
  <si>
    <t>1473-6578</t>
  </si>
  <si>
    <t>CURR OPIN PSYCHIATR</t>
  </si>
  <si>
    <t>Curr. Opin. Psychiatr.</t>
  </si>
  <si>
    <t>10.1097/YCO.0000000000000996</t>
  </si>
  <si>
    <t>0SX4V</t>
  </si>
  <si>
    <t>WOS:001455247800012</t>
  </si>
  <si>
    <t>Zhang, K; Chen, JY; Yang, ZK</t>
  </si>
  <si>
    <t>Zhang, Kai; Chen, Jingying; Yang, Zongkai</t>
  </si>
  <si>
    <t>Assessment and intervention with virtual reality technology for children aged 3-12 years with autism spectrum disorders: A scoping review</t>
  </si>
  <si>
    <t>Virtual reality; ASD; Assessment; Intervention; Children</t>
  </si>
  <si>
    <t>PROCESSING ASSESSMENT; ROBOT V2R; DESIGN; SKILLS; ATTENTION; ENVIRONMENTS; INDIVIDUALS; ADOLESCENTS; JUDGMENTS; EDUCATION</t>
  </si>
  <si>
    <t>Over the past decade, a large number of literature reviews have explored the effectiveness of virtual reality technology as applied to children with autism spectrum disorder (ASD), but there has been a lack of scope focus on different types of virtual reality systems in assessment and intervention for children aged 3-12 years and a lack of generalization of the main uses of virtual reality technology in children with ASD. Therefore, this paper aims to analysis the assessment and intervention of different virtual reality systems for children with ASD by searching seven databases with a total of 52 studies. In this paper, a comprehensive and systematic search of seven well-known online databases covering the time period from January 2014 to December 2024 was conducted. The databases searched included Wed of Science, PubMed, IEEE Xplore Digital Library, Science Direct, and ACM Digital Library, PsycINFO, ERIC. The studies had to address all aspects of assessment or intervention education for children with ASD aged 3-12 years. The first and second authors completed a quality assessment of the literature. Fifty-two studies were obtained through inclusion criteria and literature quality assessment. Data coding was used to extract key information about the studies from the literature of the included studies to facilitate analysis and discussion of the findings. The results show that (1) Aged 6-12 years and high functioning or mild/moderate ASD children were the selection bias of most researchers; (2) Virtual Reality (VR) is effective in assessment and intervention applications; (3) Head-Mounted Display VR (HMD VR) might cause excessive perceptual sensitivity in children with ASD, which required desensitization experiments; (4) Desktop VR seems to be the most common among researchers. The study concluded that Desktop VR, Handheld VR, Projector VR, HMD VR, and CAVE VR are all effective in assessing and intervening with children with ASD. However, future research should explore how best to implement them in lower age groups and in different systems.</t>
  </si>
  <si>
    <t>[Zhang, Kai; Chen, Jingying; Yang, Zongkai] Cent China Normal Univ, Natl Engn Res Ctr Educ Big Data, Wuhan, Peoples R China; [Chen, Jingying] Kashi Univ, Coll Educ Sci, Kashgar, Xinjiang, Peoples R China</t>
  </si>
  <si>
    <t>Central China Normal University; Kashi University</t>
  </si>
  <si>
    <t>Chen, JY (corresponding author), Cent China Normal Univ, Natl Engn Res Ctr Educ Big Data, Wuhan, Peoples R China.;Chen, JY (corresponding author), Kashi Univ, Coll Educ Sci, Kashgar, Xinjiang, Peoples R China.</t>
  </si>
  <si>
    <t>chenjy@mail.ccnu.edu.cn</t>
  </si>
  <si>
    <t>Chen, Jingying/MAI-5362-2025</t>
  </si>
  <si>
    <t>National Natural Science Foundation of China [62377018]; National Key R&amp;D Program of China [2024YFC3308300]; China University Industry-University-Research Innovation Fund-iFLYTEK University Innovation Research Special Project [2024XFO66]; Outstanding Seed and Representative Achievement Cultivation Project [CCNU24ZZ154]; Central China Normal University excellent postgraduate education innovation funding project [2024 CXZZ054]</t>
  </si>
  <si>
    <t>National Natural Science Foundation of China(National Natural Science Foundation of China (NSFC)); National Key R&amp;D Program of China; China University Industry-University-Research Innovation Fund-iFLYTEK University Innovation Research Special Project; Outstanding Seed and Representative Achievement Cultivation Project; Central China Normal University excellent postgraduate education innovation funding project</t>
  </si>
  <si>
    <t>This research was fully sponsored by the National Natural Science Foundation of China (Grant no. 62377018), National Key R&amp;D Program of China (Grant no. 2024YFC3308300), China University Industry-University-Research Innovation Fund-iFLYTEK University Innovation Research Special Project (Grant no. 2024XFO66), Outstanding Seed and Representative Achievement Cultivation Project (Grant no. CCNU24ZZ154), and Central China Normal University excellent postgraduate education innovation funding project (Grant no. 2024 CXZZ054).</t>
  </si>
  <si>
    <t>2025 APR 16</t>
  </si>
  <si>
    <t>10.1007/s10639-025-13561-1</t>
  </si>
  <si>
    <t>APR 2025</t>
  </si>
  <si>
    <t>1MB9M</t>
  </si>
  <si>
    <t>WOS:001468258700001</t>
  </si>
  <si>
    <t>Jeppesen, ACE; Andresen, J; Parvaiz, R; Clemmensen, L; Jepsen, JRM; Hansen, DW; Glenthoj, LB</t>
  </si>
  <si>
    <t>Jeppesen, Alberte Cathrine Ehrhardt; Andresen, Johannes; Parvaiz, Rizwan; Clemmensen, Lars; Jepsen, Jens Richardt Mollegaard; Hansen, Dan Witzner; Glenthoj, Louise Birkedal</t>
  </si>
  <si>
    <t>Study protocol for the EYEdentify project: An examination of gaze behaviour in autistic adults using a virtual reality-based paradigm</t>
  </si>
  <si>
    <t>SOCIAL ATTENTION; EYE-TRACKING; ASPERGER-SYNDROME; DISORDERS; SCALE; RISK; RELIABILITY; VALIDATION; DIAGNOSIS; CHILDREN</t>
  </si>
  <si>
    <t>Introduction Autism Spectrum Condition (ASC) is characterised by difficulties in social communication and interaction, which may pose significant challenges to daily functioning throughout life. While current diagnostic methods for ASC often rely on measures based on subjective reports, there is a growing need for objective, quantifiable measures to support current clinical assessment of ASC. Eye-tracking technology records eye and gaze movements in real time and provides a direct and objective method for assessing social attention. Integrating eye-tracking within virtual reality (VR) environments presents a novel approach for capturing gaze behaviour in dynamic, ecologically valid social scenarios. This study aims to investigate whether VR-based eye information can reveal group differences in gaze behaviour between autistic adults and neurotypical controls in simulated social interactions.Methods This case-control study will include 140 adults diagnosed with ASC and 50 neurotypical controls, matched by age and gender. Participants will engage in six VR-based social scenarios, which vary in social complexity and the presence of non-social distractors. Eye information will be measured using eye-tracking technology integrated into a head-mounted display. Gaze behaviour will be analysed through fixation-based metrics on parameters including number of fixations, mean fixation time, and dwell time, on predetermined Areas of Interest.Analysis Statistical analyses will assess between-group differences in gaze behaviour as well as correlations between gaze metrics and clinical measures of social functioning, social cognition and symptom severity.Discussion This study utilises VR-based eye-tracking to investigate novel paradigms for assessing gaze behaviour in ASC in immersive, interactive environments and aims to advance the current understanding of visual social attention in ASC. Positive outcomes from this study may support further research into VR-based eye-tracking to supplement existing clinical assessment methods.</t>
  </si>
  <si>
    <t>[Jeppesen, Alberte Cathrine Ehrhardt; Andresen, Johannes; Clemmensen, Lars; Glenthoj, Louise Birkedal] Copenhagen Univ Hosp, Copenhagen Res Ctr Mental Hlth CORE, Mental Hlth Serv Capital Reg, VIRTU Res Grp, Copenhagen, Denmark; [Jeppesen, Alberte Cathrine Ehrhardt; Andresen, Johannes; Glenthoj, Louise Birkedal] Univ Copenhagen, Dept Psychol, Copenhagen, Denmark; [Parvaiz, Rizwan] Mental Hlth Serv Capital Reg, Dept ADHD &amp; Autism, Copenhagen, Denmark; [Jepsen, Jens Richardt Mollegaard] Copenhagen Univ Hosp, Copenhagen Res Ctr Mental Hlth CORE, Mental Hlth Serv Capital Reg, Copenhagen, Denmark; [Jepsen, Jens Richardt Mollegaard] Copenhagen Univ Hosp, Child &amp; Adolescent Mental Hlth Ctr, Mental Hlth Serv Capital Reg, Res Unit, Copenhagen, Denmark; [Jepsen, Jens Richardt Mollegaard] Copenhagen Univ Hosp, Ctr Neuropsychiat Schizophrenia Res CNSR, Mental Hlth Serv Capital Reg, Copenhagen, Denmark; [Jepsen, Jens Richardt Mollegaard] Copenhagen Univ Hosp, Ctr Clin Intervent &amp; Neuropsychiat Schizophrenia R, Mental Hlth Ctr Glostrup, Mental Hlth Serv Capital Reg, Copenhagen, Denmark; [Hansen, Dan Witzner] IT Univ Copenhagen, Data Sci Sect, Machine Learning Grp, Copenhagen, Denmark</t>
  </si>
  <si>
    <t>University of Copenhagen; Copenhagen University Hospital; University of Copenhagen; University of Copenhagen; Copenhagen University Hospital; University of Copenhagen; Copenhagen University Hospital; University of Copenhagen; Copenhagen University Hospital; University of Copenhagen; Copenhagen University Hospital; IT University Copenhagen</t>
  </si>
  <si>
    <t>Glenthoj, LB (corresponding author), Copenhagen Univ Hosp, Copenhagen Res Ctr Mental Hlth CORE, Mental Hlth Serv Capital Reg, VIRTU Res Grp, Copenhagen, Denmark.;Glenthoj, LB (corresponding author), Univ Copenhagen, Dept Psychol, Copenhagen, Denmark.</t>
  </si>
  <si>
    <t>louise.birkedal.glenthoej@regionh.dk</t>
  </si>
  <si>
    <t>Parvaiz, Rizwan/JJF-0126-2023</t>
  </si>
  <si>
    <t>Glenthoj, Louise Birkedal/0000-0003-3621-8450</t>
  </si>
  <si>
    <t>Lundbeck Foundation [R396-2022-88]; Independent Research Fund Denmark [2100-00012B]</t>
  </si>
  <si>
    <t>Lundbeck Foundation(Lundbeckfonden); Independent Research Fund Denmark(Det Frie Forskningsrad (DFF))</t>
  </si>
  <si>
    <t>This project is supported by the Lundbeck Foundation (ID: R396-2022-88, https://lundbeckfonden.com/en, recipient LBG) and the Independent Research Fund Denmark (ID: 2100-00012B, https://dff.dk/en, recipient LBG). The funders had no role in the study design, data collection and analysis, decision to publish, or preparation of the manuscript.</t>
  </si>
  <si>
    <t>APR 9</t>
  </si>
  <si>
    <t>e0316502</t>
  </si>
  <si>
    <t>10.1371/journal.pone.0316502</t>
  </si>
  <si>
    <t>1GE4O</t>
  </si>
  <si>
    <t>WOS:001464256600021</t>
  </si>
  <si>
    <t>Zhang, K; Chen, JY; Yang, ZY; Ji, YF; Min, YD; Wang, GS; Liu, XD</t>
  </si>
  <si>
    <t>Zhang, Kai; Chen, Jingying; Yang, Zhiyi; Ji, Yanfeng; Min, Yuandong; Wang, Guangshuai; Liu, Xiaodi</t>
  </si>
  <si>
    <t>Investigating joint attention in children with autism spectrum disorder through virtual reality and eye-tracking: a comparative study</t>
  </si>
  <si>
    <t>Virtual reality; Eye-tracking; Joint attention; Multi-stimulus; Children with ASD</t>
  </si>
  <si>
    <t>PATTERNS; ASSOCIATIONS; LANGUAGE; INDIVIDUALS; STIMULI; ASD</t>
  </si>
  <si>
    <t>Joint attention is essential for establishing effective social communication. However, children with Autism Spectrum Disorder (ASD) often exhibit deficits in joint attention, which hinder their social interactions with peers and adults. Traditional assessment methods predominantly rely on expert observation, lacking objective measures of children's joint attention responses. To overcome these limitations, digital learning environments utilizing virtual reality technology and eye-tracking offer new opportunities for effectively assessing joint attention in children with ASD. This study explores the joint attention performance of children with ASD under social and non-social stimuli by tracking their eye movements in virtual environments. The study results indicate that: (1) Under social stimulus conditions alone, the joint attention abilities of children with ASD are significantly influenced by the environment, while typically developing (TD) children's abilities remain unaffected; (2) the additional of non-social stimuli significantly enhanced the joint attention scores for both groups. The TD group responded more effectively to non-social stimuli in the VR environment; (3) using TD children's joint attention scores under the Ssocial condition as a baseline, the additional of non-social stimuli helped ASD group approach the joint attention levels of TD. The conclusion suggests that VR-based multi-stimulus environments provide meaningful joint attention opportunities for children. By comparing with TD group, the study offers new insights and references for future interventions aimed at improving joint attention in children with ASD.</t>
  </si>
  <si>
    <t>[Zhang, Kai; Chen, Jingying; Yang, Zhiyi; Ji, Yanfeng; Min, Yuandong; Wang, Guangshuai; Liu, Xiaodi] Cent China Normal Univ, Natl Engn Res Ctr Educ Big Data, Wuhan, Peoples R China; [Chen, Jingying] Kashi Univ, Coll Educ Sci, Kashgar, Xinjiang, Peoples R China</t>
  </si>
  <si>
    <t>zkfnms@163.com; chenjy@mail.ccnu.edu.cn; yzybrilliant@hotmail.com; jiyanfeng@mails.ccnu.edu.cn; yuandong@mails.ccnu.edu.cn; wangguang_shuai@163.com; liuxd07@ccnu.edu.cn</t>
  </si>
  <si>
    <t>Chen, Jingying/MAI-5362-2025; Min, Yuandong/MAI-5320-2025</t>
  </si>
  <si>
    <t>We thank our colleagues at the National Engineering Research Center of Educational Big Data of the Central China Normal University who participated in this study. We also appreciate the children and their teachers and families.</t>
  </si>
  <si>
    <t>2025 APR 4</t>
  </si>
  <si>
    <t>10.1007/s10639-025-13554-0</t>
  </si>
  <si>
    <t>0ZD3V</t>
  </si>
  <si>
    <t>WOS:001459474100001</t>
  </si>
  <si>
    <t>Lee, IJ; Chen, CM</t>
  </si>
  <si>
    <t>Lee, I-Jui; Chen, Chiu-Mi</t>
  </si>
  <si>
    <t>Using asymmetric AR and VR technologies combined with peer collaboration and symbolic play to enhance intent understanding and empathy in children with autism</t>
  </si>
  <si>
    <t>Autism spectrum disorder (ASD); asymmetric symbolic play (ASP); AR/VR visual strategies; empathy and perspective-taking abilities; concept mapping; collaborative play</t>
  </si>
  <si>
    <t>TEACHING-CHILDREN; SPECTRUM DISORDER; GAZE DETECTION; SOCIAL-SKILLS; REALITY; PROMOTE; ADOLESCENTS; EXPRESSION; CUES; MIND</t>
  </si>
  <si>
    <t>Children with autism spectrum disorder (ASD) face social challenges, particularly in developing empathy and perspective-taking, which involve complex social cognition and intent recognition. These abilities are difficult to acquire through repetitive imitation or role-playing alone; they require active interaction and game-based tasks that foster purposeful verbal communication, mental projection, and intent judgment. This study therefore developed an Asymmetric Symbolic Play (ASP) system that integrates augmented reality (AR) and virtual reality (VR) visual strategies. The system increases visual separation and information disparity between players, requiring collaboration through verbal communication, mental projection, and intent judgment. Each player is placed in a distinct AR or VR environment with symbolic play mechanisms, and they work together to interpret the symbolic meanings embedded in their partner's clues. The ASP system encourages children with ASD to collaboratively interpret social cues-symbolic vocabulary, actions, and cues-symbolic infer social meanings, activities, and emotions. This process stimulates empathy and perspective-taking, thereby promoting social interaction skills. To assess the system's effectiveness, four high-functioning children with ASD participated in a multiple-baseline experiment. Results showed that the ASP system, through AR and VR strategies, can effectively support the gradual development of empathy in children with ASD.</t>
  </si>
  <si>
    <t>[Lee, I-Jui] Natl Taipei Univ Technol, Dept Ind Design, Taipei, Taiwan; [Chen, Chiu-Mi] Natl Taipei Univ Technol, Coll Design, Taipei, Taiwan</t>
  </si>
  <si>
    <t>National Taipei University of Technology; National Taipei University of Technology</t>
  </si>
  <si>
    <t>Lee, IJ (corresponding author), Natl Taipei Univ Technol, Dept Ind Design, Taipei, Taiwan.</t>
  </si>
  <si>
    <t>ericlee@mail.ntut.edu.tw</t>
  </si>
  <si>
    <t>National Science and Technology Council of Taiwan [MOST 111-2221-E-027-059-MY2]</t>
  </si>
  <si>
    <t>National Science and Technology Council of Taiwan</t>
  </si>
  <si>
    <t>This work was supported by National Science and Technology Council of Taiwan [grant number MOST 111-2221-E-027 -059 -MY2].</t>
  </si>
  <si>
    <t>2025 APR 3</t>
  </si>
  <si>
    <t>10.1080/10494820.2025.2483416</t>
  </si>
  <si>
    <t>1BT7Y</t>
  </si>
  <si>
    <t>WOS:001461262100001</t>
  </si>
  <si>
    <t>Lee, IJ; Wang, WZ</t>
  </si>
  <si>
    <t>Lee, I-Jui; Wang, Wei-Zhen</t>
  </si>
  <si>
    <t>Applying theatre-based role-playing combined with AR and VR game strategies to enhance imagination and symbolic play skills in children with autism spectrum disorder</t>
  </si>
  <si>
    <t>Autism; Symbolic play; Imagination; Augmented reality; Virtual reality</t>
  </si>
  <si>
    <t>TEACH SOCIAL-SKILLS; VIRTUAL-REALITY; FUNCTIONAL PLAY; PRETEND PLAY; INTERVENTION; STUDENTS; COMPETENCE; ENGAGEMENT; BEHAVIORS; LANGUAGE</t>
  </si>
  <si>
    <t>Children with Autism Spectrum Disorder (ASD) often struggle with weak imagination and symbolic play skills, making it challenging for them to understand social cues from others, such as emotional expressions, implied language, and non-literal hints. These challenges often lead to confusion, misunderstandings, and inappropriate responses during social interactions, ultimately affecting communication and social engagement. Therefore, this study employs a combination of Theatre-Based Role-Playing and augmented reality/virtual reality (AR/VR) games as training strategies. We incorporated the story context of The Wizard of Oz into interactive gameplay. The research objective was to enhance the symbolic play skills and social cognitive concepts of children with ASD. This study recruited four high-functioning children with ASD, aged 7-9 years, using multiple-baseline design across participants. The experiment consisted of three phases: a baseline phase, an intervention phase, and a maintenance phase. AR and VR games were introduced during the intervention phase for cross-training. The results demonstrate a significant improvement (p &lt; 0.05) in learning performance for all four participants using this game strategy. During the baseline phase, their average performance was 23.04%, which increased to 59.38% after the intervention and was maintained at 69.33% during the maintenance phase. Additionally, we utilized a Social Behavior Rating Scale to analyze the abilities of the four participants regarding five dimensions: theatre role-playing skills, symbolic play skills, game persistence, reciprocal social interaction skills, and verbal expression abilities. The results showed improvements in all five areas, with the most significant growth observed in symbolic play skills. These findings confirm the effectiveness of the game strategy in enhancing the understanding and transformation of conceptual ideas between symbolic symbols and social implications for children with ASD. This teaching strategy can improve their symbolic play skills and social reciprocity skills reflected symbolic play skills in their social interaction and responsiveness to peers.</t>
  </si>
  <si>
    <t>[Lee, I-Jui; Wang, Wei-Zhen] Natl Taipei Univ Technol, Dept Ind Design, 1,Sec 3,Zhongxiao E Rd, Taipei 10608, Taiwan</t>
  </si>
  <si>
    <t>National Taipei University of Technology</t>
  </si>
  <si>
    <t>Lee, IJ (corresponding author), Natl Taipei Univ Technol, Dept Ind Design, 1,Sec 3,Zhongxiao E Rd, Taipei 10608, Taiwan.</t>
  </si>
  <si>
    <t>ericlee@mail.ntut.edu.tw; t107588006@ntut.org.tw</t>
  </si>
  <si>
    <t>National Science and Technology Council</t>
  </si>
  <si>
    <t>We are grateful to the participants, clinical psychologist, occupational therapist, language teacher, and family members who contributed to this study, as well as those who assisted in its various phases. We would also like to thank the individuals who participated in this research and the autism parents' association in Taiwan.</t>
  </si>
  <si>
    <t>2025 MAR 18</t>
  </si>
  <si>
    <t>10.1007/s10209-025-01206-6</t>
  </si>
  <si>
    <t>MAR 2025</t>
  </si>
  <si>
    <t>0KG1O</t>
  </si>
  <si>
    <t>WOS:001449362500001</t>
  </si>
  <si>
    <t>García-García, L; Martí-Vilar, M; Hidalgo-Fuentes, S; Cabedo-Peris, J</t>
  </si>
  <si>
    <t>Garcia-Garcia, Laura; Marti-Vilar, Manuel; Hidalgo-Fuentes, Sergio; Cabedo-Peris, Javier</t>
  </si>
  <si>
    <t>Enhancing Emotional Intelligence in Autism Spectrum Disorder Through Intervention: A Systematic Review</t>
  </si>
  <si>
    <t>EUROPEAN JOURNAL OF INVESTIGATION IN HEALTH PSYCHOLOGY AND EDUCATION</t>
  </si>
  <si>
    <t>autism spectrum disorder; emotional intelligence; emotional regulation; emotional recognition ability</t>
  </si>
  <si>
    <t>SOCIAL-SKILLS; FACIAL EXPRESSIONS; RECOGNITION SKILLS; CHILDREN; INDIVIDUALS; ADULTS; MODEL; TRIAL</t>
  </si>
  <si>
    <t>Limitations in some emotional characteristics that are conceptualized in the definition of emotional intelligence can be seen among people with autism spectrum disorder. The main objective of this study is the analysis of the effectiveness of interventions directed to enhance emotional recognition and emotional regulation among this specific population. A systematic review was carried out in databases such as Psycinfo, WoS, SCOPUS, and PubMed, identifying a total of 572 articles, of which 29 met the inclusion criteria. The total sample included 1061 participants, mainly children aged between 4 and 13 years. The analyzed interventions focused on improving emotional recognition, with significant results in the identification of emotions such as happiness, sadness, and anger, although some showed limitations in the duration of these effects. The most used programs included training in facial recognition, virtual reality, and the use of new technologies such as robots. These showed improvements in both emotional recognition and social skills. Other types of interventions such as music therapy or the use of drama techniques were also implemented. However, a gender bias and lack of consistency between results from different cultures were observed. The conclusions indicate that, although the interventions reviewed seem effective, more research is needed to maximize their impact on the ASD population.</t>
  </si>
  <si>
    <t>[Garcia-Garcia, Laura; Marti-Vilar, Manuel; Hidalgo-Fuentes, Sergio] Univ Valencia, Fac Psychol &amp; Speech Therapy, Basic Psychol Dept, Valencia 46010, Spain; [Cabedo-Peris, Javier] Univ Int Valencia VIU, Fac Hlth Sci, Valencia 46002, Spain</t>
  </si>
  <si>
    <t>University of Valencia; Universidad Internacional de Valencia VIU</t>
  </si>
  <si>
    <t>Martí-Vilar, M (corresponding author), Univ Valencia, Fac Psychol &amp; Speech Therapy, Basic Psychol Dept, Valencia 46010, Spain.</t>
  </si>
  <si>
    <t>laugar33@alumni.uv.es; manuel.marti-vilar@uv.es; sergio.hidalgo@uv.es; javier.cabedo@professor.universidadviu.com</t>
  </si>
  <si>
    <t>Hidalgo-Fuentes, Sergio/A-3623-2019; Martí-Vilar, Manuel/E-3664-2013</t>
  </si>
  <si>
    <t>Marti-Vilar, Manuel/0000-0002-3305-2996</t>
  </si>
  <si>
    <t>2254-9625</t>
  </si>
  <si>
    <t>EUR J INVEST HEALTH</t>
  </si>
  <si>
    <t>Eur. J. Invest. Health Psychol. Educ.</t>
  </si>
  <si>
    <t>10.3390/ejihpe15030033</t>
  </si>
  <si>
    <t>0QY2H</t>
  </si>
  <si>
    <t>WOS:001453904800001</t>
  </si>
  <si>
    <t>Ghafar, MAA; Abdelraouf, OR; Harraz, EM; Seyam, MK; Morsy, WE; Amin, WM; Abd-Elfattah, HM</t>
  </si>
  <si>
    <t>Ghafar, Mohamed A. Abdel; Abdelraouf, Osama R.; Harraz, Eman M.; Seyam, Mohamed K.; Morsy, Walaa E.; Amin, Wafaa Mahmoud; Abd-Elfattah, Hanaa Mohsen</t>
  </si>
  <si>
    <t>Virtual Reality Rehabilitation Helps to Improve Postural Balance in Children with Autism Spectrum Disorder: A Randomized Control Trial</t>
  </si>
  <si>
    <t>PHYSICAL &amp; OCCUPATIONAL THERAPY IN PEDIATRICS</t>
  </si>
  <si>
    <t>Autism; biodex; Pediatric Balance Scale; postural balance; virtual rehabilitation</t>
  </si>
  <si>
    <t>TREATMENT FIDELITY; METAANALYSIS; BEHAVIOR; PROGRAM</t>
  </si>
  <si>
    <t>Background Children with autism spectrum disorders (ASD) can have difficulty adapting to environmental changes and motor-tasks demands. Objective to investigate the effectiveness of non-immersive virtual reality (VR) combined with traditional physiotherapy versus traditional physiotherapy alone on static and functional balance in children with ASD, aged from 7 to 12 years. Methods Fifty-three children with ASD were randomly assigned to either the VR group, received virtual reality training combined with traditional physical therapy, or the control group, received traditional physical therapy alone. The Biodex balance system and the pediatric balance scale were used to evaluate the balance control before and after the 12-week treatment program. Results MANOVA results showed significant improvements in the pediatric balance scale scores for both the VR and control groups compared to the pre-intervention, and that the post-intervention results were significantly lower than the pre-intervention in terms of the overall sway index and all Biodex tested conditions (p &lt; 0.05). However, post-intervention between-group comparisons showed that these significant improvements in all outcome measures were in the favor of the VR group (p &lt; 0.05). Conclusion This study suggests that virtual reality training could be an effective adjunct to traditional physical therapy for improving postural control in children with ASD.</t>
  </si>
  <si>
    <t>[Ghafar, Mohamed A. Abdel; Abdelraouf, Osama R.] Batterjee Med Coll, Phys Therapy Program, Jeddah 21442, Saudi Arabia; [Abdelraouf, Osama R.] Cairo Univ, Fac Phys Therapy, Dept Biomech, Giza, Egypt; [Harraz, Eman M.] Mansoura Univ, Fac Med, Dept Phys Med Rheumatol &amp; Rehabil, Dakahlia, Egypt; [Seyam, Mohamed K.] Majmaah Univ, Coll Appl Med Sci, Dept Phys Therapy &amp; Hlth Rehabil, Al Majmaah, Saudi Arabia; [Morsy, Walaa E.] Cairo Univ, Fac Phys Therapy, Dept Pediat, Giza, Egypt; [Morsy, Walaa E.; Amin, Wafaa Mahmoud] Jazan Univ, Coll Nursing &amp; Hlth Sci, Dept Phys Therapy, Jazan, Saudi Arabia; [Amin, Wafaa Mahmoud] Cairo Univ, Fac Phys Therapy, Dept Basic Sci Phys Therapy, Giza, Egypt; [Abd-Elfattah, Hanaa Mohsen] Badr Univ Cairo, Fac Phys Therapy, Dept Phys Therapy Pediat &amp; Pediat Surg, Cairo, Egypt</t>
  </si>
  <si>
    <t>Batterjee Medical College; Egyptian Knowledge Bank (EKB); Cairo University; Egyptian Knowledge Bank (EKB); Mansoura University; Majmaah University; Egyptian Knowledge Bank (EKB); Cairo University; Jazan University; Egyptian Knowledge Bank (EKB); Cairo University; Badr University in Cairo</t>
  </si>
  <si>
    <t>Ghafar, MAA (corresponding author), Batterjee Med Coll, Phys Therapy Program, Jeddah 21442, Saudi Arabia.</t>
  </si>
  <si>
    <t>pt12.jed@bmc.edu.sa</t>
  </si>
  <si>
    <t>Abdelraouf, Osama/AGJ-0828-2022; Morsy, walaa/LXU-6897-2024; Rebrikov, Denis/G-8672-2016; Abdel Ghafar, Mohamed Abdel Fattah/AAY-7831-2021</t>
  </si>
  <si>
    <t>Abdel Ghafar, Mohamed Abdel Fattah/0000-0001-7907-3613</t>
  </si>
  <si>
    <t>0194-2638</t>
  </si>
  <si>
    <t>1541-3144</t>
  </si>
  <si>
    <t>PHYS OCCUP THER PEDI</t>
  </si>
  <si>
    <t>Phys. Occup. Ther. Pediatr.</t>
  </si>
  <si>
    <t>2025 MAR 6</t>
  </si>
  <si>
    <t>10.1080/01942638.2025.2466555</t>
  </si>
  <si>
    <t>Pediatrics; Rehabilitation</t>
  </si>
  <si>
    <t>Z5X4N</t>
  </si>
  <si>
    <t>WOS:001439629900001</t>
  </si>
  <si>
    <t>Razzak, R; Li, Y; He, J; Jung, S; Mei, C; Huang, Y</t>
  </si>
  <si>
    <t>Razzak, Rehma; Li, Yi (Joy); He, Jing (Selena); Jung, Sungchul; Mei, Chao; Huang, Yan</t>
  </si>
  <si>
    <t>Using virtual reality to enhance attention for autistic spectrum disorder with eye tracking</t>
  </si>
  <si>
    <t>HIGH-CONFIDENCE COMPUTING</t>
  </si>
  <si>
    <t>Virtual reality; Attention training; Autistic spectrum disorders; Human-computer interaction</t>
  </si>
  <si>
    <t>SUSTAINED ATTENTION; AUGMENTED REALITY; CHILDREN; INDIVIDUALS; THERAPY; SYSTEM</t>
  </si>
  <si>
    <t>Attention deficit disorder is a frequently observed symptom in individuals with autism spectrum disorder (ASD). This condition can present significant obstacles for those affected, manifesting in challenges such as sustained focus, task completion, and the management of distractions. These issues can impede learning, social interactions, and daily functioning. This complexity of symptoms underscores the need for tailored approaches in both educational and therapeutic settings to support individuals with ASD effectively. In this study, we have expanded upon our initial virtual reality (VR) prototype, originally created for attention therapy, to conduct a detailed statistical analysis. Our objective was to precisely identify and measure any significant differences in attention-related outcomes between sessions and groups. Our study found that heart rate (HR) and electrodermal activity (EDA) were more responsive to attention shifts than temperature. The 'Noise' and 'Score' strategies significantly affected eye openness, with the ASD group showing more responsiveness. The control group had smaller pupil sizes, and the ASD group's pupil size increased notably when switching strategies in Session 1. Distraction log data showed that both 'Noise' and 'Object Opacity' strategies influenced attention patterns, with the 'Red Vignette' strategy showing a significant effect only in the ASD group. The responsiveness of HR and EDA to attention shifts and the changes in pupil size could serve as valuable physiological markers to monitor and guide these interventions. These findings further support evidence that VR has positive implications for helping those with ASD, allowing for more tailored personalized interventions with meaningful impact. (c) 2024 The Author(s). Published by Elsevier B.V. on behalf of Shandong University. This is an open access article under the CC BY-NC-ND license (http://creativecommons.org/licenses/by-nc-nd/4.0/).</t>
  </si>
  <si>
    <t>[Razzak, Rehma; Li, Yi (Joy); He, Jing (Selena); Jung, Sungchul; Huang, Yan] Kennesaw State Univ, Marietta, GA 30060 USA; [Mei, Chao] TCL Rayneo XR, Shenzhen 518000, Peoples R China</t>
  </si>
  <si>
    <t>University System of Georgia; Kennesaw State University</t>
  </si>
  <si>
    <t>Huang, Y (corresponding author), Kennesaw State Univ, Marietta, GA 30060 USA.</t>
  </si>
  <si>
    <t>yhuang24@kennesaw.edu</t>
  </si>
  <si>
    <t>US National Science Foundation [2244221, 2315595]</t>
  </si>
  <si>
    <t>US National Science Foundation(National Science Foundation (NSF))</t>
  </si>
  <si>
    <t>This work was partially supported by the US National Science Foundation (2244221 and 2315595) .</t>
  </si>
  <si>
    <t>2667-2952</t>
  </si>
  <si>
    <t>HIGH-CONFID COMPUT</t>
  </si>
  <si>
    <t>High-Confid. Comput.</t>
  </si>
  <si>
    <t>10.1016/j.hcc.2024.100234</t>
  </si>
  <si>
    <t>Computer Science, Information Systems</t>
  </si>
  <si>
    <t>U0F6H</t>
  </si>
  <si>
    <t>WOS:001408659600001</t>
  </si>
  <si>
    <t>Altin, Y; Bosnak,Ö; Turhan, C</t>
  </si>
  <si>
    <t>Altin, Yucel; Bosnak, Ozge; Turhan, Ceyda</t>
  </si>
  <si>
    <t>Examining Virtual Reality Interventions for Social Skills in Children with Autism Spectrum Disorder: A Systematic Review</t>
  </si>
  <si>
    <t>Autism spectrum disorder; Virtual reality; Social skills; Intervention</t>
  </si>
  <si>
    <t>SPECIAL-EDUCATION; DESIGN; TECHNOLOGY; COMMUNICATION; COGNITION</t>
  </si>
  <si>
    <t>Autism Spectrum Disorder (ASD) is a neurodevelopmental disorder that is characterized by limitations in social communication and interaction, self-repetitive behaviors, and the presence of limited interests. The prevalence of ASD, which typically emerges in the first years of life, is increasing at an alarming rate due to multiple factors, including the broadening of diagnostic criteria, heightened public awareness, and more frequent diagnoses among women and adults. Over the years, experts have invested considerable time and effort in developing educational scenarios for children with ASD. However, they have faced challenges replicating certain scenarios-such as emergencies, crowded public transportation, or restaurant environments-because recreating these exact conditions in real-world settings is difficult or cost-prohibitive. This has consequently compelled experts to seek out supplementary intervention methods that are more suitable and accessible. Virtual reality (VR), which has the capacity to integrate the physical and virtual realms, represents one such alternative intervention method. In this study, a systematic review of studies employing VR technology in social skills interventions for individuals with ASD was conducted, and 31 studies were included. The findings indicate the potential benefits of VR applications focusing on the social skills of individuals with ASD. Additionally, this research elucidates the limitations of the studies and offers suggestions for future research.</t>
  </si>
  <si>
    <t>[Altin, Yucel] Republ Turkiye Minist Natl Educ, Istanbul, Turkiye; [Bosnak, Ozge; Turhan, Ceyda] Uludag Univ, Bursa, Turkiye</t>
  </si>
  <si>
    <t>Uludag University</t>
  </si>
  <si>
    <t>Altin, Y (corresponding author), Republ Turkiye Minist Natl Educ, Istanbul, Turkiye.</t>
  </si>
  <si>
    <t>ycl.altin@gmail.com; ozgebosnak@uludag.edu.tr; ceydaturhan@uludag.edu.tr</t>
  </si>
  <si>
    <t>Turhan, Ceyda/AAK-4521-2021; Altin, Yucel/LZH-2013-2025</t>
  </si>
  <si>
    <t>Altin, Yucel/0009-0008-4337-8480</t>
  </si>
  <si>
    <t>Scientific and Technological Research Council of Turkiye (TUEBITAK)</t>
  </si>
  <si>
    <t>Open access funding provided by the Scientific and Technological Research Council of Turkiye (TUEBITAK). The authors did not receive support from any organization for the submitted work</t>
  </si>
  <si>
    <t>2025 FEB 5</t>
  </si>
  <si>
    <t>10.1007/s10803-025-06741-y</t>
  </si>
  <si>
    <t>FEB 2025</t>
  </si>
  <si>
    <t>U9V9F</t>
  </si>
  <si>
    <t>WOS:001415190400001</t>
  </si>
  <si>
    <t>Jung, M; Park, J</t>
  </si>
  <si>
    <t>Jung, Miran; Park, Jaewon</t>
  </si>
  <si>
    <t>Effects of a Virtual Reality-Based Aggression Control Program on Children with Autism Spectrum Disorder: A Case Study</t>
  </si>
  <si>
    <t>aggression; autism spectrum disorder; virtual reality; adaptation; children</t>
  </si>
  <si>
    <t>REPLACEMENT TRAINING ART; BEHAVIOR-PROBLEMS; ADOLESCENTS; YOUTH; AUSTRALIA</t>
  </si>
  <si>
    <t>Background/Objectives: Aggression is a major challenge for children with autism spectrum disorder (ASD), their family members, friends, and teachers because it can pose a threat or harm not only to the children with ASD but also to others. This study is a case study aimed at verifying the effectiveness of a virtual reality-based aggression control program for children with ASD. Methods: The participants were two children (one was a 10-year-old boy and the other was a 6-year-old girl) who participated in the ACAA (Aggression Replacement Training for Children and Adolescents with ASD) Program for eight sessions over three weeks. Results: The frequency (C1: 48 -&gt; 3; C2: 32 -&gt; 3) and severity of aggressive behaviors in both participants decreased after the intervention compared to before. Additionally, overall problematic behaviors were also reduced after the intervention (C1: 85 -&gt; 70; C2: 87 -&gt; 64). Furthermore, both participants demonstrated a slight increase in their levels of adaptation (C1: 17 -&gt; 20; C2: 16 -&gt; 18). Conclusions: The effectiveness of the ACAA program has been demonstrated in reducing levels of aggression in children with ASD. Therefore, the ACAA program may contribute to helping aggressive children with ASD live in harmony with others in society and promote independence.</t>
  </si>
  <si>
    <t>[Jung, Miran] Baekseok Univ, Dept Nursing, Cheonan 31065, South Korea; [Park, Jaewon] Hannam Univ, Dept Nursing, Daejeon 34430, South Korea</t>
  </si>
  <si>
    <t>Baekseok University; Hannam University</t>
  </si>
  <si>
    <t>Park, J (corresponding author), Hannam Univ, Dept Nursing, Daejeon 34430, South Korea.</t>
  </si>
  <si>
    <t>rcuty@bu.ac.kr; jwpark@hnu.kr</t>
  </si>
  <si>
    <t>National Research Foundation of Korea [NRF-2018R1C1B5084570]; National Research Foundation of Korea (NRF) - Korea government (MSIT)</t>
  </si>
  <si>
    <t>National Research Foundation of Korea(National Research Foundation of Korea); National Research Foundation of Korea (NRF) - Korea government (MSIT)(National Research Foundation of KoreaMinistry of Science, ICT &amp; Future Planning, Republic of KoreaMinistry of Science &amp; ICT (MSIT), Republic of Korea)</t>
  </si>
  <si>
    <t>This research was supported by the National Research Foundation of Korea (NRF) grant funded by the Korea government (MSIT) (No. NRF-2018R1C1B5084570).</t>
  </si>
  <si>
    <t>10.3390/children12020173</t>
  </si>
  <si>
    <t>Y4M1Q</t>
  </si>
  <si>
    <t>WOS:001431875600001</t>
  </si>
  <si>
    <t>Valarmathi, P; Packialatha, A</t>
  </si>
  <si>
    <t>Valarmathi, P.; Packialatha, A.</t>
  </si>
  <si>
    <t>Virtual Reality-Based Attention Prediction Model in Gaming for Autistic Children</t>
  </si>
  <si>
    <t>INTERNATIONAL JOURNAL OF DEVELOPMENTAL NEUROSCIENCE</t>
  </si>
  <si>
    <t>attention prediction; autism spectrum disorder; improved active shape model; improved SLF; virtual reality</t>
  </si>
  <si>
    <t>SPECTRUM DISORDER; YOUNG-CHILDREN; SYSTEM; DESIGN; COMMUNICATION; RECOGNITION; IMPLEMENTATION; SPEECH; ADULTS</t>
  </si>
  <si>
    <t>Nowadays, virtual reality (VR) has emerged as a successful new therapeutic strategy in a variety of sectors of the health profession, including rehabilitation, the promotion of inpatients' emotional wellness, diagnostics, surgeon training and mental health therapy. This study develops a new model VRAPMG for children with ASD with the following steps that consider 3D gaming. In this work, the face image is considered to evaluate the attention of the children. In the data acquisition, the input face image is converted into a noncoloured image called a greyscale image. The preprocessing phase is carried out with a median filter and Viola-Jones (VJ) algorithm-based face detection is carried out. Then, the improved active shape model (ASM), shape local binary texture (SLBT) and eye position localization-based features are extracted. In the detection phase, DMO and Bi-GRU models are combined to form the hybrid classification model. Then, improved SLF is done, and the output is detected. Depending on the detected emotions, it is determined whether the children are attentive or not via entropy-based attention prediction.</t>
  </si>
  <si>
    <t>[Valarmathi, P.; Packialatha, A.] Vels Inst Sci Technol &amp; Adv Studies, Dept Comp Sci &amp; Engn, Chennai, Tamil Nadu, India</t>
  </si>
  <si>
    <t>Vels Institute of Science, Technology &amp; Advanced Studies</t>
  </si>
  <si>
    <t>Valarmathi, P (corresponding author), Vels Inst Sci Technol &amp; Adv Studies, Dept Comp Sci &amp; Engn, Chennai, Tamil Nadu, India.</t>
  </si>
  <si>
    <t>nilapandy85@gmail.com; packialatha.se@velsuniv.ac.in</t>
  </si>
  <si>
    <t>0736-5748</t>
  </si>
  <si>
    <t>1873-474X</t>
  </si>
  <si>
    <t>INT J DEV NEUROSCI</t>
  </si>
  <si>
    <t>Int. J. Dev. Neurosci.</t>
  </si>
  <si>
    <t>e70000</t>
  </si>
  <si>
    <t>10.1002/jdn.70000</t>
  </si>
  <si>
    <t>Developmental Biology; Neurosciences</t>
  </si>
  <si>
    <t>Developmental Biology; Neurosciences &amp; Neurology</t>
  </si>
  <si>
    <t>T7S4T</t>
  </si>
  <si>
    <t>WOS:001406955900001</t>
  </si>
  <si>
    <t>Fu, WQ; Tao, T; Wang, JY; Peng, ZW; Wang, Y</t>
  </si>
  <si>
    <t>Fu, Wangqian; Tao, Tao; Wang, Jingyi; Peng, Zhiwei; Wang, Yan</t>
  </si>
  <si>
    <t>Application of Virtual Reality Technology in Intervention for Children With Autism Spectrum Disorder: A Systematic Review</t>
  </si>
  <si>
    <t>children; autism; ASD; virtual reality; intervention</t>
  </si>
  <si>
    <t>SOCIAL-SKILLS; LEARNING-ENVIRONMENT; ADOLESCENTS; COMMUNICATION; INDIVIDUALS; INSTRUCTION; PERFORMANCE; EFFICACY; STUDENTS; DESIGN</t>
  </si>
  <si>
    <t>Virtual reality (VR) technology provides innovative intervention means for children with autism spectrum disorder (ASD) due to its advantages of realism, flexibility, and controllability, bringing new possibilities. The application of VR technology for intervention in children with ASD has been widely explored. A total of 39 studies reviewed relevant literature from 2006 to February 2024 and found that VR technology demonstrated strong effectiveness in intervention for children with ASD, including social skills, moods and emotions, daily living skills, attention and others. However, existing studies have limitations regarding research methods, participants, theories, and long-term effectiveness. Future research should overcome the limitations of current studies, focusing on weak quality of research methods, targeting female individuals with ASD and individuals with varying levels of functioning, exploring the theoretical foundations of VR-based interventions, and conducting long-term follow-ups to verify intervention effects.</t>
  </si>
  <si>
    <t>[Fu, Wangqian; Tao, Tao; Peng, Zhiwei; Wang, Yan] Beijing Normal Univ, Sch Special Educ, 19 Xinjiekouwai Str, Beijing 100875, Peoples R China; [Wang, Jingyi] Southwestern Univ Finance &amp; Econ, Sch Humanities &amp; Arts, Chengdu, Peoples R China</t>
  </si>
  <si>
    <t>Beijing Normal University; Southwestern University of Finance &amp; Economics - China</t>
  </si>
  <si>
    <t>Fu, WQ; Wang, Y (corresponding author), Beijing Normal Univ, Sch Special Educ, 19 Xinjiekouwai Str, Beijing 100875, Peoples R China.</t>
  </si>
  <si>
    <t>fu2021@bnu.edu.cn</t>
  </si>
  <si>
    <t>wang, jingyi/LEN-1388-2024</t>
  </si>
  <si>
    <t>Fu, Wangqian/0000-0002-6117-5547</t>
  </si>
  <si>
    <t>Youth Project of Beijing Education Science 14th Five-Year Plan [BECA22129]</t>
  </si>
  <si>
    <t>Youth Project of Beijing Education Science 14th Five-Year Plan</t>
  </si>
  <si>
    <t>The author(s) disclosed receipt of the following financial support for the research, authorship, and/or publication of this article: This workwas supported by the Youth Project of Beijing Education Science 14th Five-Year Plan (BECA22129).</t>
  </si>
  <si>
    <t>2025 JAN 29</t>
  </si>
  <si>
    <t>10.1177/01626434251317984</t>
  </si>
  <si>
    <t>JAN 2025</t>
  </si>
  <si>
    <t>U0U5V</t>
  </si>
  <si>
    <t>WOS:001409050400001</t>
  </si>
  <si>
    <t>Altozano, A; Minissi, ME; Alcañiz, M; Marin-Morales, J</t>
  </si>
  <si>
    <t>Altozano, Alberto; Minissi, Maria Eleonora; Alcaniz, Mariano; Marin-Morales, Javier</t>
  </si>
  <si>
    <t>Introducing 3DCNN ResNets for ASD full-body kinematic assessment: A comparison with hand-crafted features</t>
  </si>
  <si>
    <t>EXPERT SYSTEMS WITH APPLICATIONS</t>
  </si>
  <si>
    <t>Autism Spectrum Discorder (ASD); Kinematic data; Feature engineering; End-to-end; Deep learning; Convolutional neural network (CNN3D); Residual Network (ResNet)</t>
  </si>
  <si>
    <t>AUTISM SPECTRUM DISORDER; IMMERSIVE VIRTUAL ENVIRONMENTS; PERFORMANCE ANALYSIS; MOTOR STEREOTYPIES; CHILDREN; COORDINATION; RECOGNITION; BEHAVIOR; DEFICITS</t>
  </si>
  <si>
    <t>Autism Spectrum Disorder (ASD) is characterized by challenges in social communication and restricted patterns, with motor abnormalities gaining traction for early detection. However, kinematic analysis in ASD is limited, often lacking robust validation and relying on hand-crafted features for single tasks, leading to inconsistencies across studies. End-to-end models have emerged as promising methods to overcome the need for feature engineering. Our aim is to propose a newly adapted 3DCNN ResNet from action recognition and compare it to widely used hand-crafted features for motor ASD assessment. Specifically, we developed a virtual reality environment with multiple motor tasks and trained models using both approaches. We prioritized a reliable validation framework with subject-wise nestedrepeated cross-validation. Results show the proposed model achieves a maximum accuracy of 85 +/- 3%, outperforming state-of-the-art end-to-end models with short 1-to-3 min samples. Our comparative analysis with hand-crafted features shows feature-engineered models outperformed our end-to-end model in certain tasks. However, generalized linear mixed-effects models showed that our end-to-end model achieved a statistically higher mean AUC (0.80 +/- 0.03) and Sensitivity (66 +/- 3%), while showing less variability across all VR tasks, demonstrating domain generalization and reliability. These findings show that end-to-end models enable less variable and context-independent ASD classification without requiring domain knowledge or task specificity. However, they also recognize the effectiveness of hand-crafted features in specific task scenarios.</t>
  </si>
  <si>
    <t>[Altozano, Alberto; Minissi, Maria Eleonora; Alcaniz, Mariano; Marin-Morales, Javier] Univ Politecn Valencia, Univ Res Inst Human Ctr Technol, Valencia 46021, Spain</t>
  </si>
  <si>
    <t>Altozano, A (corresponding author), Univ Politecn Valencia, Univ Res Inst Human Ctr Technol, Valencia 46021, Spain.</t>
  </si>
  <si>
    <t>aaltfer@upv.edu.es; meminiss@upv.edu.es; malcaniz@upv.edu.es; jamarmo@upv.edu.es</t>
  </si>
  <si>
    <t>Alcañiz, Mariano/CAG-6569-2022; Alcaniz, Mariano/I-9659-2016; Marin-Morales, Javier/AAL-1463-2020</t>
  </si>
  <si>
    <t>Altozano, Alberto/0009-0006-3470-5836; Alcaniz, Mariano/0000-0001-9207-0636; Minissi, Maria Eleonora/0000-0001-6326-0609; Marin-Morales, Javier/0000-0003-1271-2892</t>
  </si>
  <si>
    <t>CDTI of the Spanish MCIU [IDI-20201146]; MI-CIU/AEI [ID2020-116422RB-C21]; Generalitat Valenciana [CIGE/2023/160, GRISOLIAP/2019/137]</t>
  </si>
  <si>
    <t>CDTI of the Spanish MCIU; MI-CIU/AEI; Generalitat Valenciana(Center for Forestry Research &amp; Experimentation (CIEF))</t>
  </si>
  <si>
    <t>This publication is part of the R&amp;D&amp;I project with reference (IDI-20201146) , funded by The CDTI of the Spanish MCIU; part of the R&amp;D&amp;I project with reference PID2020-116422RB-C21, funded by MI-CIU/AEI/10.13039/501100011033; and by the Generalitat Valenciana (CIGE/2023/160) . MEM received partial Funding by the Generalitat Valenciana (GRISOLIAP/2019/137) .</t>
  </si>
  <si>
    <t>0957-4174</t>
  </si>
  <si>
    <t>1873-6793</t>
  </si>
  <si>
    <t>EXPERT SYST APPL</t>
  </si>
  <si>
    <t>Expert Syst. Appl.</t>
  </si>
  <si>
    <t>APR 25</t>
  </si>
  <si>
    <t>10.1016/j.eswa.2024.126295</t>
  </si>
  <si>
    <t>Computer Science, Artificial Intelligence; Engineering, Electrical &amp; Electronic; Operations Research &amp; Management Science</t>
  </si>
  <si>
    <t>Computer Science; Engineering; Operations Research &amp; Management Science</t>
  </si>
  <si>
    <t>T0F6J</t>
  </si>
  <si>
    <t>WOS:001401874000001</t>
  </si>
  <si>
    <t>Bouchouras, G; Kotis, K</t>
  </si>
  <si>
    <t>Bouchouras, Georgios; Kotis, Konstantinos</t>
  </si>
  <si>
    <t>Integrating Artificial Intelligence, Internet of Things, and Sensor-Based Technologies: A Systematic Review of Methodologies in Autism Spectrum Disorder Detection</t>
  </si>
  <si>
    <t>ALGORITHMS</t>
  </si>
  <si>
    <t>autism spectrum disorder; artificial intelligence; Internet of Things; sensor-based technologies; non-invasive diagnostics</t>
  </si>
  <si>
    <t>DIAGNOSIS</t>
  </si>
  <si>
    <t>This paper presents a systematic review of the emerging applications of artificial intelligence (AI), Internet of Things (IoT), and sensor-based technologies in the diagnosis of autism spectrum disorder (ASD). The integration of these technologies has led to promising advances in identifying unique behavioral, physiological, and neuroanatomical markers associated with ASD. Through an examination of recent studies, we explore how technologies such as wearable sensors, eye-tracking systems, virtual reality environments, neuroimaging, and microbiome analysis contribute to a holistic approach to ASD diagnostics. The analysis reveals how these technologies facilitate non-invasive, real-time assessments across diverse settings, enhancing both diagnostic accuracy and accessibility. The findings underscore the transformative potential of AI, IoT, and sensor-based driven tools in providing personalized and continuous ASD detection, advocating for data-driven approaches that extend beyond traditional methodologies. Ultimately, this review emphasizes the role of technology in improving ASD diagnostic processes, paving the way for targeted and individualized assessments.</t>
  </si>
  <si>
    <t>[Bouchouras, Georgios; Kotis, Konstantinos] Univ Aegean, Dept Cultural Technol &amp; Commun, Intelligent Syst Lab, Mitilini 81100, Greece</t>
  </si>
  <si>
    <t>University of Aegean</t>
  </si>
  <si>
    <t>Kotis, K (corresponding author), Univ Aegean, Dept Cultural Technol &amp; Commun, Intelligent Syst Lab, Mitilini 81100, Greece.</t>
  </si>
  <si>
    <t>cti23010@ct.aegean.gr; kotis@aegean.gr</t>
  </si>
  <si>
    <t>; Kotis, Konstantinos/B-1883-2009</t>
  </si>
  <si>
    <t>Bouchouras, Georgios/0000-0003-0566-3615; Kotis, Konstantinos/0000-0001-7838-9691</t>
  </si>
  <si>
    <t>1999-4893</t>
  </si>
  <si>
    <t>Algorithms</t>
  </si>
  <si>
    <t>10.3390/a18010034</t>
  </si>
  <si>
    <t>Computer Science, Artificial Intelligence; Computer Science, Theory &amp; Methods</t>
  </si>
  <si>
    <t>T3F5J</t>
  </si>
  <si>
    <t>WOS:001403909600001</t>
  </si>
  <si>
    <t>Carmona-Serrano, N; López-Belmonte, J; López-Núñez, JA; García-Guzmán, A; Moreno-Guerrero, AJ</t>
  </si>
  <si>
    <t>Carmona-Serrano, Noemi; Lopez-Belmonte, Jesus; Lopez-Nunez, Juan-Antonio; Garcia-Guzman, Antonio; Moreno-Guerrero, Antonio-Jose</t>
  </si>
  <si>
    <t>Innovative Intervention Through Augmented and Virtual Reality for Students with Autism Spectrum Disorder</t>
  </si>
  <si>
    <t>REVISTA ELECTRONICA EDUCARE</t>
  </si>
  <si>
    <t>Autism; autism spectrum disorder; educational technology; educational innovation; augmented reality; virtual reality</t>
  </si>
  <si>
    <t>AUTISM; EDUCATION</t>
  </si>
  <si>
    <t>Introduction. This study focuses on students with autism spectrum disorder (ASD) and examines the disorder and the integration of educational technologies, specifically augmented reality and virtual reality, as innovative tools for conducting training interventions. Objective. This study aims to understand the influence of augmented reality and virtual reality on students with ASD across various psychoeducational variables, including motivation, attention, communication, autonomy, and learning results. Method. A quasi-experimental pre-post design was employed involving a single group to achieve the study's objectives. The sample consisted of 23 students from the Autism Association of Ceuta. Data was gathered through a questionnaire after implementing the planned contrast intervention. Results.The results reveal that activities with augmented reality and virtual reality achieved a greater reach than traditional activities, especially in terms of motivation, although attention was affected. Discussion. This verifies the potential of educational technology. However, its use must be adapted to optimize its benefits and mitigate possible effects on attention, guaranteeing a balanced educational experience for students with ASD.</t>
  </si>
  <si>
    <t>[Carmona-Serrano, Noemi; Lopez-Belmonte, Jesus; Garcia-Guzman, Antonio; Moreno-Guerrero, Antonio-Jose] Univ Granada, Ceuta, Spain; [Lopez-Nunez, Juan-Antonio] Univ Granada, Granada, Spain</t>
  </si>
  <si>
    <t>University of Granada; University of Granada</t>
  </si>
  <si>
    <t>Carmona-Serrano, N (corresponding author), Univ Granada, Ceuta, Spain.</t>
  </si>
  <si>
    <t>nhoe@correo.ugr.es; jesuslopez@ugr.es; juanlope@ugr.es; antogagu@ugr.es; ajmoreno@ugr.es</t>
  </si>
  <si>
    <t>UNIV NACL, CIDE</t>
  </si>
  <si>
    <t>HEREDIA</t>
  </si>
  <si>
    <t>APARTADO POSTAL 86, HEREDIA, 3000, COSTA RICA</t>
  </si>
  <si>
    <t>1409-4258</t>
  </si>
  <si>
    <t>REV ELECTRON EDUCARE</t>
  </si>
  <si>
    <t>Rev. Electron. Educ.</t>
  </si>
  <si>
    <t>JAN-APR</t>
  </si>
  <si>
    <t>10.15359/ree.29-1.18527</t>
  </si>
  <si>
    <t>1NX5U</t>
  </si>
  <si>
    <t>WOS:001469501400001</t>
  </si>
  <si>
    <t>Cheng, MX; Chukoskie, L</t>
  </si>
  <si>
    <t>Cheng, Minxin; Chukoskie, Leanne</t>
  </si>
  <si>
    <t>Impact of Visual Clutter in VR on Visuomotor Integration in Autistic Individuals</t>
  </si>
  <si>
    <t>Visualization; Accuracy; Clutter; Hands; Motors; Target tracking; Estimation; Sensitivity; Propioception; Kinematics; Autism spectrum disorder; accessibility; visuomotor integration; virtual reality</t>
  </si>
  <si>
    <t>MOTOR-SKILLS; DEPTH-PERCEPTION; VIRTUAL-REALITY; CHILDREN; PERFORMANCE; ADAPTATION; SUPERIOR; SEARCH</t>
  </si>
  <si>
    <t>Autistic individuals often exhibit superior local visual sensitivity but may struggle with global visual processing, affecting their visuomotor integration (VMI). Goal-directed overhand throwing is common in both the physical environment (PE) and virtual reality (VR) games, demanding spatial and temporal accuracy to perceive position and motion, and precise VMI. Understanding VMI in autistic individuals and exploring supportive designs in VR are crucial for rehabilitation and improving accessibility. We assessed static visuospatial accuracy and VMI with autistic (n = 16) and non-autistic (n = 16) adults using spatial estimation and overhand throwing tasks with eye and hand tracking, comparing VR to PE. In VR, all participants exhibited reduced visual accuracy, increased visual scanning, and shortened quiet eye duration and eye following duration after the ball release, which led to decreased throwing performance. However, simplifying visual information in VR throwing improved these measures, and resulted in autistic individuals outperforming non-autistic peers.</t>
  </si>
  <si>
    <t>[Cheng, Minxin] Northeastern Univ, Bouve Coll Hlth Sci, Phys Therapy Movement &amp; Rehabil Sci, Boston, MA 02115 USA; [Chukoskie, Leanne] Northeastern Univ, Bouve Coll Hlth Sci Art Design, Coll Arts Media &amp; Design, Phys Therapy Movement &amp; Rehabil Sci, Boston, MA 02115 USA</t>
  </si>
  <si>
    <t>Northeastern University; Northeastern University</t>
  </si>
  <si>
    <t>Chukoskie, L (corresponding author), Northeastern Univ, Bouve Coll Hlth Sci Art Design, Coll Arts Media &amp; Design, Phys Therapy Movement &amp; Rehabil Sci, Boston, MA 02115 USA.</t>
  </si>
  <si>
    <t>cheng.min@northeastern.edu; l.chukoskie@northeastern.edu</t>
  </si>
  <si>
    <t>Cheng, Minxin/HKO-3987-2023</t>
  </si>
  <si>
    <t>Chukoskie, Leanne/0000-0003-4041-3646; Cheng, Minxin/0009-0005-7662-3516</t>
  </si>
  <si>
    <t>National Sciences Foundation (NSF) Future of Work through Leanne Chukoskie [2154884]</t>
  </si>
  <si>
    <t>National Sciences Foundation (NSF) Future of Work through Leanne Chukoskie</t>
  </si>
  <si>
    <t>This work was supported by the National Sciences Foundation (NSF) Future of Work through Leanne Chukoskie under Grant 2154884.</t>
  </si>
  <si>
    <t>10.1109/TNSRE.2025.3543131</t>
  </si>
  <si>
    <t>Y5X2Z</t>
  </si>
  <si>
    <t>WOS:001432842900001</t>
  </si>
  <si>
    <t>Mills, J; Duffy, O</t>
  </si>
  <si>
    <t>Mills, Jodie; Duffy, Orla</t>
  </si>
  <si>
    <t>Speech and Language Therapists' Perspectives of Virtual Reality as a Clinical Tool for Autism: Cross-Sectional Survey</t>
  </si>
  <si>
    <t>JMIR REHABILITATION AND ASSISTIVE TECHNOLOGIES</t>
  </si>
  <si>
    <t>virtual reality; VR; autistic; ASD; speech; language; autism; speech and language therapy; speech-language pathology; SLT; immersive; voice; vocal; cross sectional; surveys; questionnaires; experiences; attitudes; opinions; percep- tions; perspectives; autism spectrum disorder</t>
  </si>
  <si>
    <t>Background: Persistent difficulties with social skills form part of the diagnostic criteria for autism and in the past have required speech and language therapy (SLT) management. However, many speech and language therapists are moving toward neuro-affirmative practices, meaning that social skills approaches are now becoming redundant. Research demonstrates that virtual reality (YR) interventions have shown promise in overcoming challenges and promoting skill generalization for autistic children; however, the majority of these focus on social skills interventions. While YR is emerging as an SLT intervention, its application for autism remains unexamined in clinical practice. Objective: This research aimed to examine speech and language therapists' knowledge and attitudes toward immersive YR as a clinical tool for autistic children and explore the reasons for its limited integration into clinical practice. Methods: A web-based cross-sectional survey was available from April 3, 2023 to June 30, 2023. The survey, consisting of 23 questions, focused on YR knowledge, attitudes, and the support required by speech and language therapists to incorporate YR into clinical practice. Dissemination occurred through the Royal College of Speech and Language Therapists Clinical Excellence Networks to recruit speech therapists specializing in autism. Results: Analysis included a total of 53 responses from the cross-sectional survey. Approximately 92% (n=49) of speech and language therapists were aware of YR but had not used it, and 1.82% (n=1) had used YR with autistic children. Three key themes that emerged were (1) mixed general knowledge of YR, which was poor in relation to applications for autism; (2) positive and negative attitudes toward YR, with uncertainty about autism specific considerations for YR; and (3) barriers to adoption were noted and speech and language therapists required an improved neuro-affirming evidence base, guidelines, and training to adopt YR into clinical practice. Conclusions: While some speech and language therapists perceive YR as a promising intervention tool for autistic children, various barriers must be addressed before its full integration into the clinical toolkit. This study establishes a foundation for future co-design, development, and implementation of YR applications as clinical tools for autistic children. This study is the first to explore clinical implementation factors for the use of YR in SLT field, specifically with autistic children. Poor autism-specific YR knowledge, and mixed attitudes toward YR, highlight that specific barriers must be addressed before the technology can successfully integrate into the SLT clinical toolkit. Speech and language therapists require support from employers, funding, a robust neuro-affirming evidence base, and education and training to adopt YR into practice. Recommendations for a SLT YR education and training program for use with autistic children, are provided.</t>
  </si>
  <si>
    <t>[Mills, Jodie] Univ Ulster, Speech &amp; Language Therapy, Sch Hlth Sci, 2-24 York St, Coleraine BT15 IAP, North Ireland</t>
  </si>
  <si>
    <t>Ulster University</t>
  </si>
  <si>
    <t>Mills, J (corresponding author), Univ Ulster, Speech &amp; Language Therapy, Sch Hlth Sci, 2-24 York St, Coleraine BT15 IAP, North Ireland.</t>
  </si>
  <si>
    <t>mills-j12@ulster.ac.uk</t>
  </si>
  <si>
    <t>2369-2529</t>
  </si>
  <si>
    <t>JMIR REHABIL ASSIST</t>
  </si>
  <si>
    <t>JMIR Rehabil. Assist. Technol.</t>
  </si>
  <si>
    <t>e63235</t>
  </si>
  <si>
    <t>10.2196/63235</t>
  </si>
  <si>
    <t>Health Care Sciences &amp; Services; Rehabilitation</t>
  </si>
  <si>
    <t>Z7Y3O</t>
  </si>
  <si>
    <t>WOS:001441011500001</t>
  </si>
  <si>
    <t>A Multi-Model Approach for Attention Prediction in Gaming Environments for Autistic Children</t>
  </si>
  <si>
    <t>COMPUTER ANIMATION AND VIRTUAL WORLDS</t>
  </si>
  <si>
    <t>attention prediction; autistic spectrum disorder; improved common spatial pattern; improved DCNN and proposed sine-hinge loss function</t>
  </si>
  <si>
    <t>Autism spectrum disorder (ASD) is a neurological condition that affects an individual's mental development. This research work implements a multimodality input-based virtual reality (VR)-enabled attention prediction approach in gaming for children with autism. Initially, the multimodal inputs such as face image, electroencephalogram (EEG) signal, and data are individually processed by both the preprocessing and feature extraction procedures. Subsequently, a hybrid classification model with classifiers such as improved deep convolutional neural network (IDCNN) and long short term memory (LSTM) is utilized in expression detection by concatenating the resultant features obtained from the feature extraction procedure. Here, the conventional deep convolutional neural network (DCNN) approach is improved by a novel block-knowledge-based processing with a proposed sine-hinge loss function. Finally, an improved weighted mutual information process is employed in attention prediction. Moreover, this proposed attention prediction model is analyzed by simulation and experimental analyses. The effectiveness of the proposed model is significantly proved by the experimental results obtained from various analyses.</t>
  </si>
  <si>
    <t>nilapandy85@gmail.com</t>
  </si>
  <si>
    <t>1546-4261</t>
  </si>
  <si>
    <t>1546-427X</t>
  </si>
  <si>
    <t>COMPUT ANIMAT VIRT W</t>
  </si>
  <si>
    <t>Comput. Animat. Virtual Worlds</t>
  </si>
  <si>
    <t>e70010</t>
  </si>
  <si>
    <t>10.1002/cav.70010</t>
  </si>
  <si>
    <t>T8G6S</t>
  </si>
  <si>
    <t>WOS:001407327000001</t>
  </si>
  <si>
    <t>Suresh, LR; Shetty, V</t>
  </si>
  <si>
    <t>Suresh, Lekshmi R.; Shetty, Vabitha</t>
  </si>
  <si>
    <t>Effect of Virtual Reality Distraction Method on the Level of Salivary Cortisol in Children With Autism Spectrum Disorder During Dental Treatment</t>
  </si>
  <si>
    <t>Behaviour management; Dental pain; State anxiety; Physiologic stress; Cortisol</t>
  </si>
  <si>
    <t>STRESS</t>
  </si>
  <si>
    <t>To examine the effect of using Virtual Reality distraction on salivary cortisol levels in children with Autism Spectrum Disorders (ASD) during routine dental treatments. A randomized cross-over study was designed and children with a known diagnosis of ASD, between 8 and 15 years of age, requiring routine, non-invasive dental treatments, were recruited. They were divided into 2 groups (group 1 and group 2) and scheduled for dental treatments using conventional behavior management and/or VR distraction techniques in their first and second dental visit, accordingly. Wong-Baker Faces pain rating scale, Venham's picture test and Frankl's behavior rating scale were administered at the end of each visit to assess subjective parameters of pain, anxiety, and behavior. Salivary cortisol levels were estimated in all children at 3 intervals (baseline, pre-treatment, and post-treatment). 19 children completed the study protocol (group 1 = 10, group 2 = 9) and statistically significant changes were observed in subjective ratings of pain (between groups) and dental anxiety and behavior (between dental visits), in favor of when VR distraction was used. Statistically significant differences were noted in the physiologic stress of the children between dental visits at pre-treatment (in group 2), post-treatment (in both groups), and between the 2 groups at post-treatment (in visit 2), all in favor of VR distraction being used. VR distraction may be recommended as an effective behaviour management technique for children with ASD. CTRI/2018/05/013982 Retrospectively Registered.</t>
  </si>
  <si>
    <t>[Suresh, Lekshmi R.] Ajman Univ, Coll Dent, Dept Restorat Dent, Al Jurf, Ajman, U Arab Emirates; [Suresh, Lekshmi R.] Ras Al Khaimah Coll Dent Sci, Ras Al Khaymah, U Arab Emirates; [Shetty, Vabitha] AB Shetty Mem Inst Dent Sci, Dept Pediat &amp; Prevent Dent, Mangalore, Karnataka, India; [Shetty, Vabitha] NITTE, Mangalore, Karnataka, India</t>
  </si>
  <si>
    <t>Ajman University; NITTE (Deemed to be University); A.B. Shetty Memorial Institute of Dental Sciences; NITTE (Deemed to be University)</t>
  </si>
  <si>
    <t>Shetty, V (corresponding author), AB Shetty Mem Inst Dent Sci, Dept Pediat &amp; Prevent Dent, Mangalore, Karnataka, India.;Shetty, V (corresponding author), NITTE, Mangalore, Karnataka, India.</t>
  </si>
  <si>
    <t>romeenire_v@outlook.com; docvabitha29@gmail.com</t>
  </si>
  <si>
    <t>Suresh, Lekshmi/KXR-5400-2024; Shetty, Vabitha/AAW-6107-2020; Suresh, Lekshmi R/F-4715-2017</t>
  </si>
  <si>
    <t>Suresh, Lekshmi R/0000-0001-6091-1867</t>
  </si>
  <si>
    <t>Nitte University Research Grant</t>
  </si>
  <si>
    <t>This study was funded by the Nitte University Research Grant (2014-2015).</t>
  </si>
  <si>
    <t>2024 DEC 30</t>
  </si>
  <si>
    <t>10.1007/s10803-024-06702-x</t>
  </si>
  <si>
    <t>DEC 2024</t>
  </si>
  <si>
    <t>Q8Q5G</t>
  </si>
  <si>
    <t>WOS:001387254100001</t>
  </si>
  <si>
    <t>Kouroupa, A; Irvine, K; Mengoni, SE; Sharma, S</t>
  </si>
  <si>
    <t>Kouroupa, Athanasia; Irvine, Karen; Mengoni, Silvana E.; Sharma, Shivani</t>
  </si>
  <si>
    <t>The Knowledge and Preferences of Parents/Carers of Autistic Children and Young People about Technology Devices</t>
  </si>
  <si>
    <t>Autism; Technology; Support; Survey; Parents; Carers</t>
  </si>
  <si>
    <t>SPECTRUM DISORDERS; DECISION-MAKING; COMMUNICATION INTERVENTIONS; VIRTUAL-REALITY; INDIVIDUALS; ATTITUDES; SUPPORT; ROBOTS; PARENT; TOOL</t>
  </si>
  <si>
    <t>This study explored parents'/carers' knowledge, interest, and preferences towards technology devices as support mediums for autistic children, the reasoning behind any choice and the factors associated with the most preferred technology device. Technology devices were conceptualised as smartphones, iPods, tablets, virtual reality, robots, and 'other' for participants to list their own further interpretations of technology devices. Survey data were collected from 267 parents/carers of autistic children aged 2-18 years internationally between May to October 2020. Parents/carers of autistic children and young people were aware of, interested in and mostly preferred the use of tablets because of their convenience and ease of use. They least preferred virtual reality followed by robots due to both being overwhelming, cold, inconvenient to transport and expensive. Robots, in particular, were unknown to respondents. The data suggested that some technology devices as a support medium are not widely known to families of autistic children and young people in support programmes. Technology devices need to be financially approachable and achieve a high standard of design to engage users. Future research should focus on gathering evidence from the autistic community about their preferences and views of technology devices as a medium in autism support programmes.</t>
  </si>
  <si>
    <t>[Kouroupa, Athanasia] UCL, Div Psychiat, London, England; [Kouroupa, Athanasia; Irvine, Karen; Mengoni, Silvana E.; Sharma, Shivani] Univ Hertfordshire, Sch Life &amp; Med Sci, Hatfield, Herts, England</t>
  </si>
  <si>
    <t>University of London; University College London; University of Hertfordshire</t>
  </si>
  <si>
    <t>Kouroupa, A (corresponding author), UCL, Div Psychiat, London, England.;Kouroupa, A (corresponding author), Univ Hertfordshire, Sch Life &amp; Med Sci, Hatfield, Herts, England.</t>
  </si>
  <si>
    <t>athanasia.kouroupa.12@ucl.ac.uk</t>
  </si>
  <si>
    <t>Sharma, Shivani/IVH-7121-2023</t>
  </si>
  <si>
    <t>Mengoni, Silvana/0000-0002-9431-9762; Irvine, Karen/0000-0003-4087-3802; Kouroupa, Athanasia/0000-0003-3659-160X</t>
  </si>
  <si>
    <t>2024 DEC 21</t>
  </si>
  <si>
    <t>10.1007/s10803-024-06678-8</t>
  </si>
  <si>
    <t>Q0I2B</t>
  </si>
  <si>
    <t>WOS:001381623700001</t>
  </si>
  <si>
    <t>Game-Based Performance Tasks for Assessing Representational Flexibility of Autistic Adolescents in a Virtual World</t>
  </si>
  <si>
    <t>representational flexibility; game-based task performance; virtual world; game-based assessment; autism spectrum disorder</t>
  </si>
  <si>
    <t>COGNITIVE FLEXIBILITY; SPECTRUM DISORDER; REALITY; SKILLS; CHILDREN; STUDENTS</t>
  </si>
  <si>
    <t>In this exploratory study, we designed and validated game-based performance tasks to assess the development of representational flexibility in autistic adolescents through virtual reality (VR)-based training. Representational flexibility, a critical cognitive ability, involves attention switching, generating representations, and recognizing patterns-skills essential for adaptive problem-solving and success in STEM education. Despite the increasing use of VR in educational interventions, limited research has explored dynamic, real-time assessment methods for representational flexibility, particularly for autistic learners. To address this gap, we conducted 71 VR-based training sessions with seven autistic adolescents, implementing a variety of game-based tasks targeting specific subsets of representational flexibility. Using both correlation and regression analyses, we evaluated the predictive validity of these tasks. Findings indicated significant relationships between task performance and representational flexibility subsets, with certain tasks demonstrating strong potential as proxies for dynamic cognitive assessments. The study highlights the viability of game-based performance tasks as an innovative approach to tracking cognitive development in immersive learning environments. Broadly, these findings contribute to advancing inclusive VR-based educational practices and assessment methodologies tailored to the unique needs of neurodiverse learners.</t>
  </si>
  <si>
    <t>[Moon, Jewoong] Univ Alabama, Dept Educ Leadership Policy &amp; Technol Studies, Tuscaloosa, AL 35487 USA; [Ke, Fengfeng] Univ Maryland, Dept Teaching &amp; Learning Policy &amp; Leadership, College Pk, MD USA; [Sokolikj, Zlatko] Florida State Univ, Dept Sci Comp, Tallahassee, FL USA</t>
  </si>
  <si>
    <t>University of Alabama System; University of Alabama Tuscaloosa; University System of Maryland; University of Maryland College Park; State University System of Florida; Florida State University</t>
  </si>
  <si>
    <t>10.1007/s10758-024-09806-6</t>
  </si>
  <si>
    <t>0JR8M</t>
  </si>
  <si>
    <t>WOS:001380886600001</t>
  </si>
  <si>
    <t>Perry, N; Sun, C; Munro, M; Boulton, KA; Guastella, AJ</t>
  </si>
  <si>
    <t>Perry, Nina; Sun, Carter; Munro, Martha; Boulton, Kelsie A.; Guastella, Adam J.</t>
  </si>
  <si>
    <t>AI technology to support adaptive functioning in neurodevelopmental conditions in everyday environments: a systematic review</t>
  </si>
  <si>
    <t>NPJ DIGITAL MEDICINE</t>
  </si>
  <si>
    <t>AUTISM SPECTRUM DISORDER; ARTIFICIAL-INTELLIGENCE; SOCIAL COMMUNICATION; CHILDREN; HEALTH; DESIGN; BEHAVIOR; ROBOT; TIME; CARE</t>
  </si>
  <si>
    <t>Supports for adaptive functioning in individuals with neurodevelopmental conditions (NDCs) is of umost importance to long-term outcomes. Artificial intelligence (AI)-assistive technologies has enormous potential to offer efficient, cost-effective, and personalized solutions to address these challenges, particularly in everday environments. This systematic review examines the existing evidence for using AI-assistive technologies to support adaptive functioning in people with NDCs in everyday settings. Searches across six databases yielded 15 studies meeting inclusion criteria, focusing on robotics, phones/computers and virtual reality. Studies most frequently recruited children diagnosed with autism and targeted social skills (47%), daily living skills (26%), and communication (16%). Despite promising results, studies addressing broader transdiagnostic needs across different NDC populations are needed. There is also an urgent need to improve the quality of evidence-based research practices. This review concludes that AI holds enormous potential to support adaptive functioning for people with NDCs and for personalized health support. This review underscores the need for further research studies to advance AI technologies in this field.</t>
  </si>
  <si>
    <t>[Perry, Nina; Sun, Carter; Munro, Martha; Boulton, Kelsie A.; Guastella, Adam J.] Univ Sydney, Childrens Hosp Westmead Clin Sch, Fac Med &amp; Hlth, Brain &amp; Mind Ctr,Clin Autism &amp; Neurodev CAN Res, Sydney, NSW, Australia; [Perry, Nina; Sun, Carter; Munro, Martha; Boulton, Kelsie A.; Guastella, Adam J.] Univ Sydney, Brain &amp; Mind Ctr, Child Neurodev &amp; Mental Hlth Team, Sydney, NSW, Australia</t>
  </si>
  <si>
    <t>University of Sydney; University of Sydney</t>
  </si>
  <si>
    <t>Guastella, AJ (corresponding author), Univ Sydney, Childrens Hosp Westmead Clin Sch, Fac Med &amp; Hlth, Brain &amp; Mind Ctr,Clin Autism &amp; Neurodev CAN Res, Sydney, NSW, Australia.;Guastella, AJ (corresponding author), Univ Sydney, Brain &amp; Mind Ctr, Child Neurodev &amp; Mental Hlth Team, Sydney, NSW, Australia.</t>
  </si>
  <si>
    <t>adam.guastella@sydney.edu.au</t>
  </si>
  <si>
    <t>Guastella, Adam/JCE-9327-2023; Boulton, Kelsie/AFA-5484-2022</t>
  </si>
  <si>
    <t>Sun, Carter/0000-0002-0800-3906; Munro, Martha/0009-0008-6766-5855</t>
  </si>
  <si>
    <t>Australian Rotary Health; University of Sydney; David Henning Memorial Foundation Scholarship; University of Sydney Postgraduate Award scholarship</t>
  </si>
  <si>
    <t>Australian Rotary Health; University of Sydney(University of Sydney); David Henning Memorial Foundation Scholarship; University of Sydney Postgraduate Award scholarship(University of Sydney)</t>
  </si>
  <si>
    <t>We would like to thank Ms Rebeka Kosmrlj and Professor Ritin Fernandez from the Joanna Briggs Institute (JBI) for their support in conducting this research. We would also like to thank all of those in the Child Neurodevelopment and Mental Health Team who have dedicated time to this study. We gratefully acknowledge the financial support provided by Australian Rotary Health and the University of Sydney through the David Henning Memorial Foundation Scholarship and the University of Sydney Postgraduate Award scholarship awarded to N.P. during this research. We acknowledge that all figures in this manuscript are the author's original work and created in BioRender.com.</t>
  </si>
  <si>
    <t>2398-6352</t>
  </si>
  <si>
    <t>NPJ DIGIT MED</t>
  </si>
  <si>
    <t>npj Digit. Med.</t>
  </si>
  <si>
    <t>DEC 19</t>
  </si>
  <si>
    <t>10.1038/s41746-024-01355-7</t>
  </si>
  <si>
    <t>P8H3D</t>
  </si>
  <si>
    <t>WOS:001380247100004</t>
  </si>
  <si>
    <t>Sadowski, J; Wolaniuk, S; Klaudel, T; Sikorski, M; Wasik, M</t>
  </si>
  <si>
    <t>Sadowski, Jakub; Wolaniuk, Szymon; Klaudel, Tomasz; Sikorski, Michal; Wasik, Marta</t>
  </si>
  <si>
    <t>A review of the latest information on the implementation of virtual reality for medical applications including: educational, intraoperative, diagnostic, rehabilitation and therapeutic applications with a consideration of selected reports on Apple Vision Pro</t>
  </si>
  <si>
    <t>&amp; quot;virtual reality &amp; quot;; &amp; quot;medical technology &amp; quot;; medical training and education; diagnostic imaging and application in medical procedures; rehabilitation; intraoperative use of virtual reality; Apple Vision Pro in medical operations; virtual reality and therapy</t>
  </si>
  <si>
    <t>ANATOMICAL SCIENCES; AUGMENTED REALITY; VISUALIZATION; COMMUNICATION; SYSTEM; TOOL; MRI; CT</t>
  </si>
  <si>
    <t>Purpose The article is a systematic review of the latest information on the intensive development of virtual reality (VR) applications in various fields of medicine. The paper analyses in detail the impact of virtual reality on the user, taking into account both the advantages and disadvantages, as well as the limitations of the above technology. The aim of the study was to analyse and discuss the available information from the scientific literature on the use of virtual reality in education, intraoperative, diagnostic, therapeutic and rehabilitation applications. It summarises and discusses the potential directions of VR development in correlation with the discussed aspects of the medical area. Methods A systematic review of the literature was performed using the databases: PubMed, Elsevier, and Google Scholar. The following keywords were used: virtual reality, medicine, medical education, medical technology, virtual reality in medical training and education, virtual reality in diagnostic imaging and application in medical procedures, virtual reality in rehabilitation, intraoperative use of virtual reality, Apple Vision Pro in medical operations, virtual reality autism, virtual reality phobias, virtual reality PTSD, virtual reality pain, virtual reality and therapy. Results A total of 1150 items were searched, and after removing duplicate items, applying exclusion criteria and filters such as clinical trial, meta-analysis, randomised control trial, systematic review, 320 articles were selected. After analysis, 121 articles were assessed for eligibility. Focusing on the characteristics of the materials and methods used and the results obtained and conclusions contained in each article, 101 research articles, reviews and meta-analyses were included in the study. Conclusions Virtual reality, despite current limitations, is a dynamically developing field that finds more and more applications in medicine, including technology and medical education. With further development, the above implementations will inevitably be improved and tested, which leads to the conclusion that further discoveries can be expected confirming their potential in education and diagnostic and therapeutic processes.</t>
  </si>
  <si>
    <t>[Sadowski, Jakub; Wolaniuk, Szymon; Klaudel, Tomasz; Sikorski, Michal] Univ Opole, Inst Med Sci, Dept Clin Biochem &amp; Lab Diagnost, Student Sci Soc Clin Biochem &amp; Regenerat Med, Oleska 48, PL-45052 Opole, Poland; [Wasik, Marta] Univ Opole, Inst Med Sci, Dept Clin Biochem &amp; Lab Diagnost, Oleska 48, PL-45052 Opole, Poland</t>
  </si>
  <si>
    <t>University of Opole; University of Opole</t>
  </si>
  <si>
    <t>Sadowski, J (corresponding author), Univ Opole, Inst Med Sci, Dept Clin Biochem &amp; Lab Diagnost, Student Sci Soc Clin Biochem &amp; Regenerat Med, Oleska 48, PL-45052 Opole, Poland.</t>
  </si>
  <si>
    <t>jakubsa77@gmail.com</t>
  </si>
  <si>
    <t>Wąsik, Marta/JDD-5847-2023; Sadowski, Jakub/KIH-3997-2024</t>
  </si>
  <si>
    <t>Sadowski, Jakub/0009-0007-0894-1007</t>
  </si>
  <si>
    <t>10.1007/s12553-024-00935-7</t>
  </si>
  <si>
    <t>T5T1P</t>
  </si>
  <si>
    <t>WOS:001381179100001</t>
  </si>
  <si>
    <t>Reitere, E; Duhovska, J; Karkou, V; Martinsone, K</t>
  </si>
  <si>
    <t>Reitere, Erika; Duhovska, Jana; Karkou, Vicky; Martinsone, Kristine</t>
  </si>
  <si>
    <t>Telehealth in arts therapies for neurodevelopmental and neurological disorders: a scoping review</t>
  </si>
  <si>
    <t>art therapy; arts therapies; dance movement therapy; expressive arts therapy; music therapy; neurodevelopmental disorders; neurological disorders; telehealth</t>
  </si>
  <si>
    <t>ADULTS</t>
  </si>
  <si>
    <t>Background: Arts therapies, encompassing art therapy, music therapy, drama therapy, and dance movement therapy with the broader practice of expressive arts therapies, have demonstrated positive outcomes in the treatment of neurodevelopmental and neurological disorders (NNDs). Integrating arts therapies into telehealth has become increasingly important to improve accessibility for people with mobility impairments or those living in remote areas. This study aims to map the existing body of literature to provide an in-depth overview of telehealth in arts therapies for individuals with NNDs. Methodology: This scoping review followed the PRISMA guidelines. Six databases were systematically searched, with 2,888 articles screened for eligibility. Inclusion criteria focused on primary research peer-reviewed articles in English that addressed telehealth arts therapies for NNDs. Results: Seventeen telehealth studies published between 2009 and March 2024 were included, with a notable increase in publications after 2020. The studies covered various neurodevelopmental disorders, including autism spectrum disorders, attention deficit hyperactivity disorder (ADHD), Rett syndrome, and neurological disorders such as stroke, epilepsy, cerebral palsy, central nervous system (CNS) tumors, dementia, Alzheimer's disease, Parkinson's disease, spinal cord injuries, and mild cognitive impairment. Music therapy was the most widely studied modality. Interventions ranged from therapeutic singing and songwriting to virtual reality experiences. Different platforms and specialized virtual environments were used alongside pre-recorded sessions. Positive benefits included psychological enrichment, social connectivity, cognitive improvements, and brain changes, although some studies reported mixed or no significant effects in certain areas. Conclusion: Telehealth in arts therapies significantly benefits individuals with NNDs, improving accessibility and providing psychological, emotional, social, and cognitive benefits. The positive benefits observed highlight the potential of these interventions to improve overall well-being and daily functioning. Future research may focus on high-quality qualitative studies and neuroimaging assessments to further validate the impact of telehealth arts therapies.</t>
  </si>
  <si>
    <t>[Reitere, Erika; Duhovska, Jana; Martinsone, Kristine] Rga Stradin Univ, Dept Hlth Psychol &amp; Paedag, Riga, Latvia; [Karkou, Vicky] Edge Hill Univ, Res Ctr Arts &amp; Wellbeing, Ormskirk, England</t>
  </si>
  <si>
    <t>Edge Hill University</t>
  </si>
  <si>
    <t>Reitere, E (corresponding author), Rga Stradin Univ, Dept Hlth Psychol &amp; Paedag, Riga, Latvia.</t>
  </si>
  <si>
    <t>erika.reitere@rsu.edu.lv</t>
  </si>
  <si>
    <t>Martinsone, Kristine/D-5611-2018; Duhovska, Jana/AAW-3611-2020; Karkou, Vicky or Vassiliki/C-1216-2017</t>
  </si>
  <si>
    <t>Reitere, Erika/0009-0005-5188-6627; Karkou, Vicky or Vassiliki/0000-0001-8986-956X</t>
  </si>
  <si>
    <t>DEC 18</t>
  </si>
  <si>
    <t>10.3389/fpsyg.2024.1484726</t>
  </si>
  <si>
    <t>R2I9A</t>
  </si>
  <si>
    <t>WOS:001389761200001</t>
  </si>
  <si>
    <t>Lledó, GL; Cabrera, EA; Carreres, AL; Lorenzo-Lledó, A; Perez-Vazquez, E; Gilabert-Cerdá, A</t>
  </si>
  <si>
    <t>Lledo, Gonzalo Lorenzo; Cabrera, Eliseo Andreu; Carreres, Asuncion Lledo; Lorenzo-Lledo, Alejandro; Perez-Vazquez, Elena; Gilabert-Cerda, Alba</t>
  </si>
  <si>
    <t>The application of robotics and virtual reality for the enhancement of expressive communication: an exploratory study</t>
  </si>
  <si>
    <t>REVISTA DE EDUCACION INCLUSIVA</t>
  </si>
  <si>
    <t>learning disabilities; education; educational resources; robotics</t>
  </si>
  <si>
    <t>AUTISM SPECTRUM DISORDER; JOINT ATTENTION; YOUNG-CHILDREN</t>
  </si>
  <si>
    <t>Emerging technologies have been rapidly incorporated into the teaching and learning processes at compulsory educational levels. One of the reasons for their use is their versatility in adapting to the educational needs of students. Specifically, we refer in this study to students with autism spectrum disorder (ASD), present today in the classroom. Therefore, this study aims to conduct a comparative study to analyze improvements in the expressive communication of students with autism spectrum disorder in terms of robotics and immersive virtual reality. The study has used a quasi-experimental methodology and a pretest-posttest design using a quantitative approach. The evaluation instrument was the Denver questionnaire. While for robotics, the NAO robot and the Oculus Quest 2 glasses were used for virtual reality. The intervention was developed from September to November 2023. Eleven sessions were planned with both technologies to work on areas such as symbolic play, learning rules and recognition of emotions. . In the results obtained, improvements have been observed with both technologies, although robotics is the one that has achieved higher scores. As a future line of work, the possibility of adding more situations to work in school classrooms and the incorporation of an artificial intelligence that can adjust the activities in real time to the characteristics of the children is proposed.</t>
  </si>
  <si>
    <t>[Lledo, Gonzalo Lorenzo; Cabrera, Eliseo Andreu; Carreres, Asuncion Lledo; Lorenzo-Lledo, Alejandro; Perez-Vazquez, Elena; Gilabert-Cerda, Alba] Univ Alicante, San Vicente Del Raspeig, Spain</t>
  </si>
  <si>
    <t>Lledó, GL (corresponding author), Univ Alicante, San Vicente Del Raspeig, Spain.</t>
  </si>
  <si>
    <t>Gilabert-Cerdá, Alba/JXL-4455-2024; Pérez-Vázquez, Elena/ABF-7728-2020; Lorenzo-Lledó, Alejandro/AAV-3674-2020</t>
  </si>
  <si>
    <t>UNIV ALMERIA</t>
  </si>
  <si>
    <t>ALMERIA</t>
  </si>
  <si>
    <t>CTRA SACRAMENTO, S-N, LA CANADA DE SAN URBANO, ALMERIA, 04120, SPAIN</t>
  </si>
  <si>
    <t>1889-4208</t>
  </si>
  <si>
    <t>1989-4643</t>
  </si>
  <si>
    <t>REV EDUC INCL</t>
  </si>
  <si>
    <t>Rev. Educ. Incl.</t>
  </si>
  <si>
    <t>R1Z0V</t>
  </si>
  <si>
    <t>WOS:001389505900006</t>
  </si>
  <si>
    <t>Simmons, T; Snider, J; Chukoskie, L</t>
  </si>
  <si>
    <t>Simmons, Trent; Snider, Joseph; Chukoskie, Leanne</t>
  </si>
  <si>
    <t>The Effects of Social Presence on Gaze, Movement, Arousal and Blink Rate in Autism: A Cooperative Virtual Reality Game-Based Approach</t>
  </si>
  <si>
    <t>IEEE TRANSACTIONS ON GAMES</t>
  </si>
  <si>
    <t>Motors; Games; Task analysis; Physiology; Autism; Tutorials; Resists; Arousal; autism; blink rate; eye-tracking; movement; video games; virtual reality</t>
  </si>
  <si>
    <t>SPECTRUM DISORDER; PHYSIOLOGICAL AROUSAL; MOTOR-PERFORMANCE; CHILDREN; EXPERIENCE; FLOW; COORDINATION; IMPAIRMENTS; IMMERSION; PATTERNS</t>
  </si>
  <si>
    <t>Difficulty in social interaction is a key factor in the diagnostic criteria for autism. Although not fully understood, fluid human social interaction demands a complex exchange of verbal and nonverbal signals, which is disrupted in autistic individuals. Differences in gaze behavior, gross motor movement, and physiological responses related to arousal and attention have been observed repeatedly in autistic individuals, potentially impacting social interaction. Our prior work (Simmons et al., 2023) uses a fully immersive virtual reality video game custom-designed to examine the role of social presence through solo and cooperative versions of the game. We predicted that the inclusion of a virtual presence would impact the temporal execution of gaze behaviors and gross motor movements, as well as modulate physiological arousal and blink rate in autistic individuals differently than nonautistic controls. We found that the cooperative condition produced a larger number of differences in gaze behaviors and gross motor movements for autistic individuals. In addition, arousal and blink rate displayed differences during the cooperative condition. These findings demonstrate the specific effects of a virtual social presence on fundamental behaviors that comprise social interaction and can be measured and eventually manipulated in virtual reality.</t>
  </si>
  <si>
    <t>[Simmons, Trent] Northeastern Univ, Bouve Coll Hlth Sci, Boston, MA 02115 USA; [Snider, Joseph] Univ Calif San Diego, Inst Neural Computat, La Jolla, CA 92093 USA; [Chukoskie, Leanne] Northeastern Univ, Bouve Coll Hlth Sci, Coll Arts Media &amp; Design, Boston, MA 02115 USA</t>
  </si>
  <si>
    <t>Northeastern University; University of California System; University of California San Diego; Northeastern University</t>
  </si>
  <si>
    <t>Simmons, T (corresponding author), Northeastern Univ, Bouve Coll Hlth Sci, Boston, MA 02115 USA.</t>
  </si>
  <si>
    <t>simmons.t@northeastern.edu; j1snider@ucsd.edu; l.chukoskie@northeastern.edu</t>
  </si>
  <si>
    <t>Chukoskie, Leanne/0000-0003-4041-3646; Snider, Joseph/0000-0002-0176-5107</t>
  </si>
  <si>
    <t>2475-1502</t>
  </si>
  <si>
    <t>2475-1510</t>
  </si>
  <si>
    <t>IEEE T GAMES</t>
  </si>
  <si>
    <t>IEEE Trans. Gamres</t>
  </si>
  <si>
    <t>10.1109/TG.2024.3410163</t>
  </si>
  <si>
    <t>Computer Science, Artificial Intelligence; Computer Science, Software Engineering</t>
  </si>
  <si>
    <t>P9Z3R</t>
  </si>
  <si>
    <t>WOS:001381392800001</t>
  </si>
  <si>
    <t>Wunsch, V; Picka, EF; Schumm, H; Kopp, J; Alshirbaji, TA; Arabian, H; Möller, K; Wagner-Hartl, V</t>
  </si>
  <si>
    <t>Wunsch, Valentin; Picka, Effi Freya; Schumm, Hanna; Kopp, Joshua; Alshirbaji, Tamer Abdulbaki; Arabian, Herag; Moeller, Knut; Wagner-Hartl, Verena</t>
  </si>
  <si>
    <t>Virtual Reality-Based Approach to Evaluate Emotional Everyday Scenarios for a Digital Health Application</t>
  </si>
  <si>
    <t>MULTIMODAL TECHNOLOGIES AND INTERACTION</t>
  </si>
  <si>
    <t>virtual reality; digital health application; emotional everyday scenarios; autism spectrum disorder (ASD)</t>
  </si>
  <si>
    <t>AUTISM SPECTRUM DISORDER; ADULTS</t>
  </si>
  <si>
    <t>Social interactions are a part of our everyday lives. This can be challenging for individuals who experience social interactions as demanding, such as persons with autism spectrum disorder (ASD). Therefore, different types of training exist to help individuals affected by ASD practice in challenging situations. Digital applications offer advantages over traditional training because they can better address the individual needs of people with ASD. The development of a therapeutic application initially requires identifying appropriate emotion-relevant scenarios of social interaction. Based on a previous study evaluating text-based scenarios with different levels of complexity, a virtual reality (VR) environment was developed to assess the applicability of the scenarios in VR. Therefore, an experimental study was conducted. Two different scenarios of social interaction, each with four different levels of complexity, were presented and evaluated by 18 participants (10 males, eight females). A multidimensional approach was used to combine subjective assessments and psychophysiological measures (ECG and EDA). The results showed that the implementation of the scenarios in VR was able to differentiate between different levels of complexity. As the long-term target is to implement the findings in a therapeutic application for people with ASD, the results of the study are promising for the achievement of this goal.</t>
  </si>
  <si>
    <t>[Wunsch, Valentin; Picka, Effi Freya; Schumm, Hanna; Kopp, Joshua; Wagner-Hartl, Verena] Furtwangen Univ, Dept Ind Technol, Campus Tuttlingen, D-78532 Tuttlingen, Germany; [Alshirbaji, Tamer Abdulbaki; Arabian, Herag; Moeller, Knut; Wagner-Hartl, Verena] Furtwangen Univ, Inst Tech Med ITeM, D-78054 Villingen Schwenningen, Germany; [Alshirbaji, Tamer Abdulbaki] Univ Leipzig, Innovat Ctr Comp Assisted Surg ICCAS, D-04103 Leipzig, Germany</t>
  </si>
  <si>
    <t>Leipzig University</t>
  </si>
  <si>
    <t>Wagner-Hartl, V (corresponding author), Furtwangen Univ, Dept Ind Technol, Campus Tuttlingen, D-78532 Tuttlingen, Germany.;Wagner-Hartl, V (corresponding author), Furtwangen Univ, Inst Tech Med ITeM, D-78054 Villingen Schwenningen, Germany.</t>
  </si>
  <si>
    <t>valentin.wunsch@hs-furtwangen.de; effifreya.picka@hs-furtwangen.de; hsc48252@stud.hs-furtwangen.de; joshua.kopp@hs-furtwangen.de; tamer.abdulbakialshirbaji@hs-furtwangen.de; verena.wagner-hartl@hs-furtwangen.de</t>
  </si>
  <si>
    <t>Wagner-Hartl, Verena/0000-0002-0599-1291; Wunsch, Valentin/0009-0005-4784-8046; Kopp, Joshua/0009-0007-6634-5529; Arabian, Herag/0000-0002-1492-1121</t>
  </si>
  <si>
    <t>KOMPASS - Ministerium fur Wissenschaft, Forschung und Kunst (MWK) of Baden-Wuerttemberg Germany; LESSON - German Federal Ministry of Research and Education (BMBF) [LESSON FKZ: 13FH5E10IA]</t>
  </si>
  <si>
    <t>KOMPASS - Ministerium fur Wissenschaft, Forschung und Kunst (MWK) of Baden-Wuerttemberg Germany; LESSON - German Federal Ministry of Research and Education (BMBF)(Federal Ministry of Education &amp; Research (BMBF))</t>
  </si>
  <si>
    <t>Partial support by grants from KOMPASS funded by the Ministerium fur Wissenschaft, Forschung und Kunst (MWK) of Baden-Wuerttemberg Germany and LESSON funded by the German Federal Ministry of Research and Education (BMBF) under grant LESSON FKZ: 13FH5E10IA.</t>
  </si>
  <si>
    <t>2414-4088</t>
  </si>
  <si>
    <t>MULTIMODAL TECHNOLOG</t>
  </si>
  <si>
    <t>Multimodal Technol. Interaction</t>
  </si>
  <si>
    <t>10.3390/mti8120113</t>
  </si>
  <si>
    <t>Computer Science, Artificial Intelligence; Computer Science, Cybernetics; Computer Science, Information Systems</t>
  </si>
  <si>
    <t>Q4Y4N</t>
  </si>
  <si>
    <t>WOS:001384753100001</t>
  </si>
  <si>
    <t>Silva, RM; Martins, P; Rocha, T</t>
  </si>
  <si>
    <t>Silva, Rui Manuel; Martins, Paulo; Rocha, Tania</t>
  </si>
  <si>
    <t>Virtual reality educational scenarios for students with ASD: Instruments validation and design of STEM programmatic contents</t>
  </si>
  <si>
    <t>Autism spectrum disorder; Virtual learning environments; Inclusive education; Virtual reality; STEM education</t>
  </si>
  <si>
    <t>AUTISM SPECTRUM DISORDER; AUGMENTED REALITY; DELPHI METHOD; CHILDREN; RESPONSIVITY; OUTCOMES; ANXIETY; ADULTS; SKILLS; TOOL</t>
  </si>
  <si>
    <t>Background: Virtual Reality (VR) is making education more engaging and accessible, especially for students with Autism Spectrum Disorders (ASD), promoting inclusion and the development of STEM skills in innovative ways. The literature still reveals a significant gap in terms of appropriate educational resources adapted to the specific needs of these students, resulting in difficulties in their inclusion. With the growing need for inclusive approaches in education, it is essential to find solutions to support these students. The aim of this study is to validate the data collection methodology that will enable the development of Virtual Learning Environments with STEM content for students with ASD. Methods: The Design Science Research (DSR) methodology was used to develop a VR artefact for students with ASD. In addition, the Delphi method was applied in the expert involvement phase, which will contribute to the validation of the artefact's specific requirements. Both will allow for an inclusive and distinctive approach to the development of an artefact, with the aim of offering an innovative educational experience, meeting the varied needs and learning styles of students with ASD, optimising the effectiveness of the proposed VLE. Results: The results show a strong acceptance among experts, highlighting the potential positive impact of this approach, although there are aspects to be improved to ensure a more comprehensive and effective approach. Conclusions: This study highlights the successful validation of an innovative virtual reality programme for students with ASD, highlighting the importance of interdisciplinary collaboration and the strong contribution to the advancement of inclusive education.</t>
  </si>
  <si>
    <t>[Silva, Rui Manuel; Martins, Paulo; Rocha, Tania] Univ Tras Os Montes &amp; Alto Douro UTAD, Vila Real, Portugal; [Silva, Rui Manuel; Martins, Paulo; Rocha, Tania] Inst Engn Sist &amp; Comp Tecnol &amp; Ciencia INESC TEC, R Dr Roberto Frias, Porto, Portugal</t>
  </si>
  <si>
    <t>University of Tras-os-Montes &amp; Alto Douro; Universidade do Porto</t>
  </si>
  <si>
    <t>Silva, RM (corresponding author), Univ Tras Os Montes &amp; Alto Douro UTAD, Vila Real, Portugal.</t>
  </si>
  <si>
    <t>ruimapesilva@gmail.com</t>
  </si>
  <si>
    <t>Silva, Rui Manuel/0009-0006-5883-3381</t>
  </si>
  <si>
    <t>10.1016/j.rasd.2024.102521</t>
  </si>
  <si>
    <t>U9I0R</t>
  </si>
  <si>
    <t>WOS:001414828600001</t>
  </si>
  <si>
    <t>Kim, S; Johnson, AR; Wolpe, SM; Volodina, E</t>
  </si>
  <si>
    <t>Kim, Sunny; Johnson, Amanda R.; Wolpe, Samara M.; Volodina, Elena</t>
  </si>
  <si>
    <t>Exploring the Feasibility of Social Skills Programs for Autistic Youth Through Virtual Reality</t>
  </si>
  <si>
    <t>Autism; Social skills; Virtual reality; Intervention; Adolescents; Parent perspective; Telehealth</t>
  </si>
  <si>
    <t>HIGH-FUNCTIONING CHILDREN; ADOLESCENTS</t>
  </si>
  <si>
    <t>Many autistic individuals may desire support and services primarily in the areas of adaptive functioning and social well-being throughout their lifetime. There is a need for community-informed and person-centered social programs targeted for autistic adolescents and adults. New technology, such as virtual reality (VR), is being researched to assess the feasibility of providing therapeutic services to autistic individuals. This qualitative study aims to better understand and explore the perceptions of parents and autistic adolescents regarding social development and thoughts around social skills interventions delivered through technologies such as VR. Eight autistic adolescents between the ages of 12 to 17, and five parents participated across five focus groups. The focus group interviews were semi-structured, and qualitative data analysis was conducted through an open thematic approach and inductive coding process. Seven primary themes with sub-themes were identified throughout the focus group interview discussions: Social Skills of the participating autistic adolescents as reported by their parents and by self-report, Family Dynamics affecting social relationships within the family, Social Skills Goals both groups hoped to develop and improve, the existence and quality of In-Person vs. Online Friendships, Experience/Comfort With Technology, Openness to Virtual Environments, and Concerns for Virtual Environments. Researchers identified these themes across both parent and adolescent focus groups. This study provides guidance to the research community on investigating different innovative approaches for offering a social program that is supported by autistic individuals.</t>
  </si>
  <si>
    <t>[Kim, Sunny] Univ Calif Santa Barbara, Santa Barbara, CA 93106 USA; [Johnson, Amanda R.] Univ Calif San Diego, San Diego, CA USA; [Wolpe, Samara M.; Volodina, Elena] Univ Calif Los Angeles, Los Angeles, CA USA</t>
  </si>
  <si>
    <t>University of California System; University of California Santa Barbara; University of California System; University of California San Diego; University of California System; University of California Los Angeles</t>
  </si>
  <si>
    <t>Kim, S (corresponding author), Univ Calif Santa Barbara, Santa Barbara, CA 93106 USA.</t>
  </si>
  <si>
    <t>sunnykim8288@gmail.com</t>
  </si>
  <si>
    <t>National Science Foundation Small Business Innovation and Research Grant [2133911]</t>
  </si>
  <si>
    <t>National Science Foundation Small Business Innovation and Research Grant</t>
  </si>
  <si>
    <t>The author(s) disclosed receipt of the following financial support for the research, authorship, and/or publication of this article: This work was funded by the National Science Foundation Small Business Innovation and Research Grant (ID number: 2133911).</t>
  </si>
  <si>
    <t>2024 OCT 24</t>
  </si>
  <si>
    <t>10.1007/s10803-024-06571-4</t>
  </si>
  <si>
    <t>J8B0I</t>
  </si>
  <si>
    <t>WOS:001339245900001</t>
  </si>
  <si>
    <t>Bent, G; Frias, R; Vo, K; Leung, W</t>
  </si>
  <si>
    <t>Bent, Gracie; Frias, Rachel; Vo, Kim; Leung, Willie</t>
  </si>
  <si>
    <t>Use of Virtual Reality to Improve Expressive Communication and Social Skills Among Children With Autism Spectrum Disorder</t>
  </si>
  <si>
    <t>JOURNAL OF PHYSICAL EDUCATION RECREATION AND DANCE</t>
  </si>
  <si>
    <t>[Bent, Gracie; Frias, Rachel; Vo, Kim; Leung, Willie] Univ Tampa Tampa, Dept Hlth Sci &amp; Human Performance, Tampa, FL 33606 USA</t>
  </si>
  <si>
    <t>Bent, G (corresponding author), Univ Tampa Tampa, Dept Hlth Sci &amp; Human Performance, Tampa, FL 33606 USA.</t>
  </si>
  <si>
    <t>Leung, Willie/0000-0002-4866-5381</t>
  </si>
  <si>
    <t>0730-3084</t>
  </si>
  <si>
    <t>2168-3816</t>
  </si>
  <si>
    <t>J PHYS EDUC RECREAT</t>
  </si>
  <si>
    <t>J. Phys. Educ. Recreat. Dance</t>
  </si>
  <si>
    <t>10.1080/07303084.2024.2383530</t>
  </si>
  <si>
    <t>I8S1T</t>
  </si>
  <si>
    <t>WOS:001332889800007</t>
  </si>
  <si>
    <t>Liu, YF; Ma, Y; Huang, LB; Xiao, CL; Ding, T</t>
  </si>
  <si>
    <t>Liu, Yifu; Ma, Yan; Huang, Libing; Xiao, Chunling; Ding, Tao</t>
  </si>
  <si>
    <t>The effects of human-computer interaction-based interventions for autism spectrum disorder: a meta-analysis</t>
  </si>
  <si>
    <t>Autism spectrum disorder; Human-computer interaction; Social skills intervention; Meta-analysis</t>
  </si>
  <si>
    <t>EARLY BEHAVIORAL INTERVENTION; HIGH-FUNCTIONING AUTISM; VIRTUAL-REALITY SYSTEM; SOCIAL-SKILLS; CHILDREN; RECOGNITION; ADOLESCENTS; STUDENTS; GAME; ASD</t>
  </si>
  <si>
    <t>Interventions utilizing human-computer interaction (HCI) in autism rehabilitation have gained popularity, yet their efficacy has not been fully elucidated. This meta-analysis assessed 30 international studies from the past decade that employed HCIs for autism intervention. The findings revealed a moderate positive effect (g = 0.484) on improving social skills, reducing repetitive behaviors, and mitigating emotional disturbances in individuals with autism. Common HCI technologies, such as applications, robots, and virtual reality, exhibit moderate effects. Adult participants benefitted the most, followed by adolescents, children, and infants. This discrepancy may be related to the stability and engagement of adults in terms of cognition and behavior. Individual-format interventions surpass group formats, and interventions lasting less than one month tend to be more focused and goal-oriented, demonstrating the most significant effects on ASD. Furthermore, research findings indicate no publication bias; however, due to the variability among individuals with ASD and the diversity of intervention measures, further analysis is needed to identify the underlying factors influencing the effectiveness of these interventions.</t>
  </si>
  <si>
    <t>[Liu, Yifu; Ma, Yan; Huang, Libing; Xiao, Chunling; Ding, Tao] Chongqing Normal Univ, Coll Comp &amp; Informat Sci, 37 Univ Town Middle Rd, Chongqing, Peoples R China</t>
  </si>
  <si>
    <t>Chongqing Normal University</t>
  </si>
  <si>
    <t>Liu, YF (corresponding author), Chongqing Normal Univ, Coll Comp &amp; Informat Sci, 37 Univ Town Middle Rd, Chongqing, Peoples R China.</t>
  </si>
  <si>
    <t>2021210516007@stu.cqnu.edu.cn</t>
  </si>
  <si>
    <t>Liu, Yi-Fu/LTE-7572-2024</t>
  </si>
  <si>
    <t>Chongqing Normal University Graduate Research and Innovation Project [YZH23013, YZH22021]; Chongqing Graduate Research and Innovation Project [CYS23419]</t>
  </si>
  <si>
    <t>Chongqing Normal University Graduate Research and Innovation Project; Chongqing Graduate Research and Innovation Project</t>
  </si>
  <si>
    <t>This study was funded by Chongqing Normal University Graduate Research and Innovation Project (Award Number: YZH23013, YZH22021), Chongqing Graduate Research and Innovation Project (Award Number: CYS23419).</t>
  </si>
  <si>
    <t>2024 OCT 12</t>
  </si>
  <si>
    <t>10.1007/s10639-024-13096-x</t>
  </si>
  <si>
    <t>I4T9K</t>
  </si>
  <si>
    <t>WOS:001330208700003</t>
  </si>
  <si>
    <t>Schmidt, M; Lu, J; Huang, R; Francois, MS; Lee, MY; Wang, XM; Feijóo-García, PG</t>
  </si>
  <si>
    <t>Schmidt, Matthew; Lu, Jie; Huang, Rui; Francois, Marc-Sonley; Lee, Minyoung; Wang, Xiaoman; Feijoo-Garcia, Pedro Guillermo</t>
  </si>
  <si>
    <t>Participatory, human-centered, equitable, neurodiverse, and inclusive XR : Co-design of extended reality with autistic users</t>
  </si>
  <si>
    <t>Human-centered computing; Extended Reality (XR); Autism; Co-design; Learning experience design; Educational design research</t>
  </si>
  <si>
    <t>QUALITATIVE CONTENT-ANALYSIS; VIRTUAL-REALITY; SOCIAL VALIDITY; SPECTRUM DISORDER; CHILDREN; DISABILITY; SYSTEM; ACCEPTABILITY; STUDENTS; SKILLS</t>
  </si>
  <si>
    <t>Extended reality (XR) such as Virtual Reality (VR) and Augmented Reality (AR) has been heralded as a particularly promising technology for autistic people. However, prior studies have centered around curing or ameliorating deficits and impairments and are typically conducted by non-disabled and non-autistic researchers. Using co-design and a variety of learning experience design methods and processes, Project PHoENIX (Participatory, Human-centered, Equitable, Neurodiverse, and Inclusive XR) speaks to the need for research that applies a social-ecological perspective to the design and evaluation of VR experiences for autistic users, with the goal of decreasing environmental barriers and promoting a more inclusive society. In this study, we describe a multi-cycle process of educational design research (EDR), consisting of iterative human-centered formative design, development, implementation, and evaluation of Project PHoENIX from Spring 2021 to Spring 2022. A framework for conducting co-design and collaborative educational design research with autistic individuals in a VR environment is provided along with design principles that support this framework. Findings from 3 meso-cycles illustrate the dual outcomes of educational design research, namely, (1) a consistently maturing intervention and (2) improving theoretical understanding. Findings underscore the feasibility of our approach, and demonstrate potential to scale.</t>
  </si>
  <si>
    <t>[Schmidt, Matthew; Lu, Jie] Univ Georgia, Dept Workforce Educ &amp; Instruct Technol, Athens, GA 30602 USA; [Huang, Rui; Francois, Marc-Sonley; Lee, Minyoung; Wang, Xiaoman] Univ Florida, Sch Teaching &amp; Learning, Gainesville, FL USA; [Feijoo-Garcia, Pedro Guillermo] Georgia Inst Technol, Sch Comp Instruct, Atlanta, GA USA</t>
  </si>
  <si>
    <t>University System of Georgia; University of Georgia; State University System of Florida; University of Florida; University System of Georgia; Georgia Institute of Technology</t>
  </si>
  <si>
    <t>Schmidt, M (corresponding author), Univ Georgia, Dept Workforce Educ &amp; Instruct Technol, Athens, GA 30602 USA.</t>
  </si>
  <si>
    <t>matthew.schmidt@uga.edu; jlu@uga.edu; rui.huang@coe.ufl.edu; francoism@ufl.edu; minyounglee@ufl.edu; xiaoman@ufl.edu; pfeijoogarcia@gatech.edu</t>
  </si>
  <si>
    <t>Huang, Tammy/AAY-8160-2021; Feijóo-García, Pedro Guillermo/IQT-0097-2023; Lee, Min Young/GMX-1345-2022; Francois, Marc/JCN-8502-2023; Wang, Xiaoman/MZS-1422-2025</t>
  </si>
  <si>
    <t>Lu, Jie Jennifer/0000-0002-7466-6177</t>
  </si>
  <si>
    <t>INT FORUM EDUCATIONAL TECHNOLOGY &amp; SOC, NATL TAIWAN NORMAL UNIV</t>
  </si>
  <si>
    <t>Taipei City</t>
  </si>
  <si>
    <t>No.162, Sec. 1, Heping E. Rd., Da-an Dist, Taipei City, TAIWAN</t>
  </si>
  <si>
    <t>10.30191/ETS.202410_27(4).SP05</t>
  </si>
  <si>
    <t>J1N0G</t>
  </si>
  <si>
    <t>WOS:001334795100017</t>
  </si>
  <si>
    <t>Kalemkus, F</t>
  </si>
  <si>
    <t>Kalemkus, Fatih</t>
  </si>
  <si>
    <t>Trends in instructional technologies used in education of people with special needs due to intellectual disability and autism</t>
  </si>
  <si>
    <t>JOURNAL OF RESEARCH IN SPECIAL EDUCATIONAL NEEDS</t>
  </si>
  <si>
    <t>autism; instructional technologies; intellectual disability; trends</t>
  </si>
  <si>
    <t>DAILY LIVING SKILLS; SPECTRUM DISORDER; ASSISTIVE TECHNOLOGY; TEACHING-CHILDREN; COMPUTER GAMES; YOUNG-ADULTS; SIGHT WORDS; STUDENTS; INDIVIDUALS; SYSTEM</t>
  </si>
  <si>
    <t>The purpose of this study is to analyse trends in articles on the use of instructional technologies in the education of individuals with special needs, specifically those with mental disabilities and autism. The research was conducted in accordance with the PRISMA statement, and the studies were analysed through content analysis. Between 2015 and 2023, 452 articles were retrieved from ScienceDirect, Web of Science, SpringerLink, ERIC, Google Scholar, SOBIAD, Taylor &amp; Francis and SCOPUS databases on the use of instructional technologies in the education of students with intellectual disabilities or autism. The analysis included 128 articles that met the research criteria. The research indicates that publications on instructional technologies for individuals diagnosed with intellectual disabilities were mostly published in 2019, 2020 and 2021. Among these technologies, technology-supported learning and augmented reality were found to be the most preferred. These studies focused on the effects of instructional technologies on communication and social skills. They were mostly conducted on students aged 15-25. Publications for individuals diagnosed with autism were mostly published in 2022. These individuals have mostly preferred technology-supported learning, virtual reality and robot-assisted learning as instructional technologies. These studies focused on the effects of instructional technologies on communication and social skills in students aged 5-10.</t>
  </si>
  <si>
    <t>[Kalemkus, Fatih] Kafkas Univ, Distance Educ Applicat &amp; Res Ctr, TR-36100 Kars, Turkiye</t>
  </si>
  <si>
    <t>Kafkas University</t>
  </si>
  <si>
    <t>Kalemkus, F (corresponding author), Kafkas Univ, Distance Educ Applicat &amp; Res Ctr, TR-36100 Kars, Turkiye.</t>
  </si>
  <si>
    <t>kalemkus@gmail.com</t>
  </si>
  <si>
    <t>KALEMKUS, Fatih/GLV-0660-2022</t>
  </si>
  <si>
    <t>KALEMKUS, Fatih/0000-0001-7218-955X</t>
  </si>
  <si>
    <t>1471-3802</t>
  </si>
  <si>
    <t>J RES SPEC EDUC NEED</t>
  </si>
  <si>
    <t>J. Res. Spec. Educ. Needs</t>
  </si>
  <si>
    <t>10.1111/1471-3802.12723</t>
  </si>
  <si>
    <t>1DG9L</t>
  </si>
  <si>
    <t>WOS:001314049600001</t>
  </si>
  <si>
    <t>Yun, H; Park, M; Lee, H; Choi, EK</t>
  </si>
  <si>
    <t>Yun, Hyeseon; Park, Mina; Lee, Hooyun; Choi, Eun Kyoung</t>
  </si>
  <si>
    <t>Healthcare Interventions for Children Using Nonimmersive Virtual Reality: A Mixed Methods Systematic Review</t>
  </si>
  <si>
    <t>JOURNAL OF PEDIATRIC HEALTH CARE</t>
  </si>
  <si>
    <t>Children; mixed methods systematic review; nonimmersive virtual reality; social skills; self-management</t>
  </si>
  <si>
    <t>SELF-MANAGEMENT; LEARNING-ENVIRONMENT; SOCIAL INTERACTIONS; ADOLESCENTS; COMPETENCE; CHILDHOOD; YOUTH; COMMUNITY; DISORDER; SUPPORT</t>
  </si>
  <si>
    <t>Introduction: Nonimmersive virtual reality (NIVR), a computer- generated virtual reality experience wherein users are not fully immersed, has been increasingly used in pediatric healthcare. This study aimed to identify the effects of NIVR-based interventions for children. Method: A mixed methods systematic review of relevant studies published until December 2023 was conducted. We included samples of healthy children and those with chronic conditions or disabilities, fi ndings related to self-management or social skills, and the NIVR interventions applied. A convergent-integrated design was used for the synthesis. Results: This review included 22 studies, of which 15 examined children having autism spectrum disorders. Utilizing NIVR was found to be effective in enhancing social skills. Participating in virtual communities with peers having similar conditions was determined to facilitate social support and identity exploration. Discussion: Healthcare interventions using NIVR need to be explored further to improve self-management and social skills in children with various conditions.</t>
  </si>
  <si>
    <t>[Yun, Hyeseon; Lee, Hooyun; Choi, Eun Kyoung] Yonsei Univ, Coll Nursing, 50-1 Yonsei Ro, Seoul 03722, South Korea; [Yun, Hyeseon; Lee, Hooyun] Yonsei Univ, Brain Korea FOUR Project 21, Seoul, South Korea; [Park, Mina] Soonchunhyang Univ, Sch Nursing, Cheonan, South Korea; [Choi, Eun Kyoung] Yonsei Univ, Mo Im Kim Nursing Res Inst, Seoul, South Korea</t>
  </si>
  <si>
    <t>Yonsei University; Yonsei University Health System; Yonsei University; Soonchunhyang University; Yonsei University</t>
  </si>
  <si>
    <t>Choi, EK (corresponding author), Yonsei Univ, Coll Nursing, 50-1 Yonsei Ro, Seoul 03722, South Korea.</t>
  </si>
  <si>
    <t>ekchoi@yuhs.ac</t>
  </si>
  <si>
    <t>Choi, Eun Kyoung/GPG-0204-2022; Yun, Hyeseon/KFS-8365-2024</t>
  </si>
  <si>
    <t>Yun, Hyeseon/0000-0002-9272-8562; LEE, Hooyun/0000-0001-7346-7902; Choi, Eun Kyoung/0000-0003-4622-2437; Park, Mina/0000-0003-0951-7201</t>
  </si>
  <si>
    <t>Brain Korea 21 FOUR Project, Yonsei University College of Nursing; National Research Foundation of Korea (NRF) - Korea government (Ministry of Science and ICT [MSIT]) [2022R1A2C1008573]</t>
  </si>
  <si>
    <t>Brain Korea 21 FOUR Project, Yonsei University College of Nursing; National Research Foundation of Korea (NRF) - Korea government (Ministry of Science and ICT [MSIT])(National Research Foundation of KoreaMinistry of Science &amp; ICT (MSIT), Republic of KoreaMinistry of Science, ICT &amp; Future Planning, Republic of Korea)</t>
  </si>
  <si>
    <t>This work was supported by the Brain Korea 21 FOUR Project, Yonsei University College of Nursing, and supported by the National Research Foundation of Korea (NRF) grant funded by the Korea government (Ministry of Science and ICT [MSIT]) (No. 2022R1A2C1008573). The funders did not play any role in the data collection, interpretation, or reporting in this study.</t>
  </si>
  <si>
    <t>STE 800, 230 PARK AVE, NEW YORK, NY 10169 USA</t>
  </si>
  <si>
    <t>0891-5245</t>
  </si>
  <si>
    <t>1532-656X</t>
  </si>
  <si>
    <t>J PEDIATR HEALTH CAR</t>
  </si>
  <si>
    <t>J. Pediatr. Health Care</t>
  </si>
  <si>
    <t>SEP-OCT</t>
  </si>
  <si>
    <t>10.1016/j.pedhc.2024.01.008</t>
  </si>
  <si>
    <t>Health Policy &amp; Services; Nursing; Pediatrics</t>
  </si>
  <si>
    <t>Health Care Sciences &amp; Services; Nursing; Pediatrics</t>
  </si>
  <si>
    <t>G0P4S</t>
  </si>
  <si>
    <t>WOS:001313738700001</t>
  </si>
  <si>
    <t>Carreon, A; Rowland, A; Smith, S; Lowery, A; Mosher, M</t>
  </si>
  <si>
    <t>Carreon, Adam; Rowland, Amber; Smith, Sean; Lowery, Alisa; Mosher, Maggie</t>
  </si>
  <si>
    <t>Designing for Successful Educational Experiences in Virtual Reality Environments</t>
  </si>
  <si>
    <t>virtual reality; autism; technology; universal design for learning; immersive learning</t>
  </si>
  <si>
    <t>UNIVERSAL DESIGN; STUDENTS; ENGAGEMENT; TEACHER; SUPPORT</t>
  </si>
  <si>
    <t>Virtual Reality (VR) and immersive instruction hold great promise to alter instruction for students with autism spectrum disorder (ASD). Yet, the voices of the direct users (e.g., the teachers and students) are often underutilized or not at all utilized in the creation of educational applications, particularly in the field of VR. The purpose of this study was to understand how teachers and students understand the design elements of future VR educational environments. We conducted interviews with middle school teachers of students with ASD and middle school students with ASD to understand the varying preferences of features and functions as future users of VR in their classrooms. Data analysis revealed three primary themes, engagement, motivation, and navigation, were crucial regarding the design and experience of virtual environments for the participants. Overall, we conclude and discuss that aligning the design of educational technology experience with the perspectives of direct users and aligning with elements of a research-based framework of UDL seems to offer great promise to improving future virtual experiences and student outcomes.</t>
  </si>
  <si>
    <t>[Carreon, Adam] Georgia Southern Univ, Dept Elementary &amp; Special Educ, POB 8134, Statesboro, GA 30460 USA; [Rowland, Amber; Smith, Sean; Mosher, Maggie] Univ Kansas Hlth Syst, Kansas City, MO USA; [Lowery, Alisa] Univ Southern Mississippi, Dept Educatio, Hattiesburg, MS USA</t>
  </si>
  <si>
    <t>University System of Georgia; Georgia Southern University; University of Southern Mississippi</t>
  </si>
  <si>
    <t>Carreon, A (corresponding author), Georgia Southern Univ, Dept Elementary &amp; Special Educ, POB 8134, Statesboro, GA 30460 USA.</t>
  </si>
  <si>
    <t>acarreon@georgiasouthern.edu</t>
  </si>
  <si>
    <t>Mosher, Maggie/AGP-6140-2022; Carreon, Adam/IXN-5008-2023; Smith, Stephanie/AAY-4854-2020</t>
  </si>
  <si>
    <t>Rowland, Amber/0000-0003-3503-430X; Carreon, Adam/0000-0001-9677-8025; Smith, Sean/0000-0002-4566-8018</t>
  </si>
  <si>
    <t>2024 AUG 23</t>
  </si>
  <si>
    <t>10.1177/01626434241277191</t>
  </si>
  <si>
    <t>D5Z1J</t>
  </si>
  <si>
    <t>WOS:001296949400001</t>
  </si>
  <si>
    <t>Bryant, L; Bailey, B; Hemsley, B</t>
  </si>
  <si>
    <t>Bryant, Lucy; Bailey, Benjamin; Hemsley, Bronwyn</t>
  </si>
  <si>
    <t>Developing and evaluating an immersive augmented reality application for children with developmental communication disability: InterPlay for language learning</t>
  </si>
  <si>
    <t>INTERNATIONAL JOURNAL OF SPEECH-LANGUAGE PATHOLOGY</t>
  </si>
  <si>
    <t>augmented reality; participatory design; developmental communication disability; autism; developmental language disorder</t>
  </si>
  <si>
    <t>DISORDERS</t>
  </si>
  <si>
    <t>PurposeThis study aimed to examine the views of professionals working with children with developmental communication disability (e.g. associated with developmental disability, autism, developmental language disorder) on the features underlying effective augmented reality (AR) applications for language learning and education; and design, build, and evaluate a prototype AR application (InterPlay) to support language learning for children with developmental communication disability.MethodA three-stage design methodology was used to (a) identify opportunities for AR to support children with developmental communication disability; (b) create a prototype application to provide an identified support; and (c) evaluate the features of AR that may afford the best support, using the InterPlay prototype as a foundation for discussion.ResultExpert reference focus groups identified support opportunities and key design considerations, informing development of a prototype AR application, InterPlay. Evaluation identified a further four key themes: (a) designing an accessible reality, (b) integrating physical and virtual realities, (c) barriers to access and usability, and (d) contrasting new and existing technology.ConclusionFindings highlighted the need for careful consideration in the design and implementation stages of AR development to ensure AR applications are accessible and beneficial for children with developmental communication disability.</t>
  </si>
  <si>
    <t>[Bryant, Lucy; Bailey, Benjamin; Hemsley, Bronwyn] Univ Technol Sydney, Fac Hlth, Grad Sch Hlth, Sydney, Australia; [Bailey, Benjamin] Flinders Univ S Australia, Coll Nursing &amp; Hlth Sci, Adelaide, Australia; [Bailey, Benjamin; Hemsley, Bronwyn] Univ Newcastle, Coll Hlth Med &amp; Wellbeing, Newcastle, Australia</t>
  </si>
  <si>
    <t>Bryant, L (corresponding author), Univ Technol Sydney, Grad Sch Hlth, 100 Broadway, Chippendale, NSW 2007, Australia.</t>
  </si>
  <si>
    <t>Lucy.bryant@uts.edu.au</t>
  </si>
  <si>
    <t>Bryant, Lucy/0000-0001-8497-7406; Hemsley, Bronwyn/0000-0002-6255-3140; Bailey, Benjamin/0000-0003-0086-9999</t>
  </si>
  <si>
    <t>University of Technology Sydney</t>
  </si>
  <si>
    <t>The authors would like to acknowledge Natasha Bobyreff, who assisted in the process of transcription of Stage 3 interviews and focus groups and in qualitative data analysis. We would also like to acknowledge Lucy Estela, the application developer who built the prototype InterPlay.</t>
  </si>
  <si>
    <t>1754-9507</t>
  </si>
  <si>
    <t>1754-9515</t>
  </si>
  <si>
    <t>INT J SPEECH-LANG PA</t>
  </si>
  <si>
    <t>Int. J. Speech-Lang. Pathol.</t>
  </si>
  <si>
    <t>10.1080/17549507.2024.2361734</t>
  </si>
  <si>
    <t>Audiology &amp; Speech-Language Pathology; Linguistics; Rehabilitation</t>
  </si>
  <si>
    <t>C6E0Z</t>
  </si>
  <si>
    <t>WOS:001290269900001</t>
  </si>
  <si>
    <t>García-Massó, X; Montalt-García, S; González, LM</t>
  </si>
  <si>
    <t>Garcia-Masso, Xavier; Montalt-Garcia, Sergio; Gonzalez, Luis-Millan</t>
  </si>
  <si>
    <t>Game-based learning in scientific literature: text mining analysis</t>
  </si>
  <si>
    <t>REVISTA DE EDUCACION</t>
  </si>
  <si>
    <t>games; game design; learning; students; software; motivation</t>
  </si>
  <si>
    <t>GAMIFICATION; EDUCATION</t>
  </si>
  <si>
    <t>Game-based learning has increased its influence in different fields (e.g., education or marketing) in recent years. However, it is difficult to have an overall landscape of the scientific approach that has been carried out to date around this term. The objective of this study is to identify, analyze, and provide a comprehensive map of the emerging concepts published in the scientific literature related to game-based learning, as well as to establish the most studied topics around these concepts. Method: a search was conducted in the Web of Science (WOS) database for all articles related to this topic, and they were analyzed using both the title and keywords, as well as abstracts, through data mining techniques. The frequency of occurrence of unigrams, bigrams, and trigrams was calculated, as well as the investigated topics within the subject through latent Dirichlet analysis. Results: some of the most frequent unigrams, bigrams, and trigrams were: 'student', 'education', 'virtual reality', 'video game', 'learning environment', 'autism spectrum disorder', 'design methodology approach', and 'information communication technology'. From the model based on latent Dirichlet analysis, 15 research topics related to game-based pedagogy emerged, focusing on new tools for implementing gamification in different contexts (e.g., marketing or economics), as well as the application of game-based learning in the university environment to enhance learning and motivation, which have increased their scientific presence in recent years. Conclusions: thanks to the results of this study, there is an overall understanding of the scientific approach that has been carried out around play-based pedagogy.</t>
  </si>
  <si>
    <t>[Garcia-Masso, Xavier; Montalt-Garcia, Sergio; Gonzalez, Luis-Millan] Univ Valencia, Valencia, Spain</t>
  </si>
  <si>
    <t>University of Valencia</t>
  </si>
  <si>
    <t>García-Massó, X (corresponding author), Univ Valencia, Fac Magisterio, Dept Didact Educ Fis Artist &amp; Mus, Ave Naranjos 4, Valencia 46022, Spain.</t>
  </si>
  <si>
    <t>xavier.garcia@uv.es</t>
  </si>
  <si>
    <t>Montalt-García, Sergio/KOC-7520-2024; González, Luis-Millán/L-4779-2014</t>
  </si>
  <si>
    <t>MINISTRY EDUCATION &amp; SCIENCE</t>
  </si>
  <si>
    <t>MADRID</t>
  </si>
  <si>
    <t>Paseo del Prado, 28., MADRID, SPAIN</t>
  </si>
  <si>
    <t>0034-8082</t>
  </si>
  <si>
    <t>1988-592X</t>
  </si>
  <si>
    <t>REV EDUC-MADRID</t>
  </si>
  <si>
    <t>Rev. Educ.</t>
  </si>
  <si>
    <t>10.4438/1988-592X-RE-2024-405-630</t>
  </si>
  <si>
    <t>A3E0M</t>
  </si>
  <si>
    <t>WOS:001281382300006</t>
  </si>
  <si>
    <t>Maddalon, L; Minissi, ME; Parsons, TD; Hervás-Zúñiga, A; Alcañiz, M</t>
  </si>
  <si>
    <t>Maddalon, Luna; Minissi, Maria Eleonora; Parsons, Thomas D.; Hervas-zuniga, Amaia; Alcaniz, Mariano</t>
  </si>
  <si>
    <t>Virtual Reality Training for Spatial Perspective-Taking in Children with ASD</t>
  </si>
  <si>
    <t>Autism spectrum disorder; virtual reality; serious game; perspective taking; children</t>
  </si>
  <si>
    <t>Autism Spectrum Disorder (ASD) has profound deficits in social- cognitive skills, between them spatial perspective-taking ability, requiring alternative treatment methods in the context of increasing diagnoses. Emerging technologies like virtual reality (VR) offer promising avenues for intervention due to their immersive nature and ability to dynamically adapt to individual needs, potentially addressing the heterogeneity of ASD symptom severity. This study introduces a novel approach by integrating an adaptive VR serious game into traditional interventions, aiming to complement existing methods and improve treatment efficacy. The study involved 15 participants diagnosed with ASD severity level 1. A VR task was designed to immerse participants in a virtual playground environment, where they interacted with an avatar and responded to spatial perspective-taking questions. Over the course of four sessions, participants underwent adaptive training, with task difficulty adjusted incrementally based on performance. In addition to the difficulty level, the system was governed by applied behavioral analysis intervention principles tailored to each participant's performance. Data analysis revealed a significant improvement in performance metrics between sessions and decreased use of aids as participants demonstrated greater competence, suggesting a successful learning process. Data should be interpreted with caution, given the small sample size. However, findings underscore the potential of VR-based adaptive interventions to address social-cognitive deficits in ASD. Indeed, the innovative methodology, based on traditional psychological principles and frameworks, could provide a solid framework for future studies on adaptive training.</t>
  </si>
  <si>
    <t>[Maddalon, Luna; Minissi, Maria Eleonora; Alcaniz, Mariano] Polytech Valencia, Human Ctr Technol Res Inst HUMAN Tech, Valencia, Spain; [Parsons, Thomas D.] Arizona State Univ, Edson Coll, Grace Ctr, Tempe, AZ 85281 USA; [Parsons, Thomas D.; Hervas-zuniga, Amaia] Arizona State Univ, Computat Neuropsychol &amp; Simulat CNS, Tempe, AZ 85281 USA; Fdn Docencia &amp; Recerca Mutua Terrassa MTA, Grp Salut Mental Infanto Juvenil, Terrassa, Barcelona, Spain</t>
  </si>
  <si>
    <t>Arizona State University; Arizona State University-Tempe; Arizona State University; Arizona State University-Tempe</t>
  </si>
  <si>
    <t>Maddalon, L (corresponding author), Polytech Valencia, Human Ctr Technol Res Inst HUMAN Tech, Valencia, Spain.</t>
  </si>
  <si>
    <t>lmaddal@htech.upv.es</t>
  </si>
  <si>
    <t>1PJ2Z</t>
  </si>
  <si>
    <t>WOS:001470482100025</t>
  </si>
  <si>
    <t>Gardner, L; Campbell, JM</t>
  </si>
  <si>
    <t>Gardner, Lauren; Campbell, Jonathan M.</t>
  </si>
  <si>
    <t>Training Law Enforcement Officers About Autism: Evaluation of Adding Virtual Reality or Simulation to a Traditional Training Approach</t>
  </si>
  <si>
    <t>Autism spectrum disorder; Law enforcement officers; Training</t>
  </si>
  <si>
    <t>SPECTRUM DISORDER; POLICE; ADULTS; INDIVIDUALS; ADOLESCENTS; INVOLVEMENT</t>
  </si>
  <si>
    <t>Prevalence rates of autism spectrum disorder (ASD) across the globe and lifespan suggest that law enforcement officers (LEOs) are likely to interact with autistic people in their professional duties. In developed countries, LEOs have professional encounters with autistic individuals, and research strongly supports LEOs need training to increase their knowledge about autism and confidence interacting with autistic people. The purpose of the present study is to compare three training approaches with LEOs: (a) a training presentation alone (P), (b) a training presentation combined with virtual reality simulation (P + VR), and (c) a training presentation combined with in-vivo simulation (P + SIM). The primary outcomes are LEO knowledge of autism and self-reported confidence in responding to autism calls. The present study included 259 LEOS who completed a survey assessing autism knowledge and confidence in level of skill before and after participating in ASD-specific training for LEOs. Findings support that participant knowledge of autism and confidence in responding significantly increased for all LEOs equally across training conditions. Results support that formalized training in ASD significantly impacts LEO's knowledge of ASD and confidence responding to calls. As such, standardized training for LEOs is needed to assure appropriate knowledge and confidence when responding to calls involving autistic persons.</t>
  </si>
  <si>
    <t>[Gardner, Lauren] Johns Hopkins All Childrens Hosp, Dept Psychol, St Petersburg 33701, FL USA; [Campbell, Jonathan M.] Western Carolina Univ, Dept Psychol, Cullowhee, NC USA</t>
  </si>
  <si>
    <t>Johns Hopkins University; Johns Hopkins Medicine; University of North Carolina; Western Carolina University</t>
  </si>
  <si>
    <t>Gardner, L (corresponding author), Johns Hopkins All Childrens Hosp, Dept Psychol, St Petersburg 33701, FL USA.</t>
  </si>
  <si>
    <t>lgardn18@jhmi.edu</t>
  </si>
  <si>
    <t>Gardner, Lauren/0000-0001-5697-8022</t>
  </si>
  <si>
    <t>2024 MAY 15</t>
  </si>
  <si>
    <t>10.1007/s10803-024-06383-6</t>
  </si>
  <si>
    <t>QU8L0</t>
  </si>
  <si>
    <t>WOS:001223472400002</t>
  </si>
  <si>
    <t>Ray, S; Tawar, S; Singh, N; Singh, G</t>
  </si>
  <si>
    <t>Ray, Sougat; Tawar, Shabeena; Singh, Neha; Singh, Gurpreet</t>
  </si>
  <si>
    <t>Transition toward Technological Transformation: Challenges of Implementing Virtual Reality and Augmented Reality in the Health Sector</t>
  </si>
  <si>
    <t>JOURNAL OF MARINE MEDICAL SOCIETY</t>
  </si>
  <si>
    <t>Augmented reality; challenges; cost effectiveness; cyber security; ethical; health care; virtual reality</t>
  </si>
  <si>
    <t>ETHICAL-ISSUES</t>
  </si>
  <si>
    <t>Background: Metaverse, the disruptive digital technology, has demonstrated significant effectiveness in the fields of preventive and cognitive therapy, diagnostics, surgical interventions and rehabilitation. Virtual Reality (VR), a part of Metaverse, integrates imaging data and input from users and deliver a 3D graphical output which can be visualised through a wearable headset. Augmented reality (AR) on the other hand, can control the presence of the user in the real world. Methodology: A review was undertaken of peer-reviewed literature on the emerging evidence on the applications of AR and VR in healthcare. Research studies carried out to identify effectiveness of AR and VR technologies were included. Result: AR &amp; VR have been effective in rehabilitation of patients of Autism Spectrum Disorders and Mild Cognitive Impairment by improving motor skills, social skills and various cognitive indices like task learning and attention. In the surgical field, AR head mounted device (HMD) can provide three-dimensional, patient specific anatomic information during surgery. It minimises surgical complications and improves patient satisfaction. AR is of particular interest in complicated spinal surgeries and orthopaedic manoeuvres which require high level of surgical skill. AR has also been used successfully in different types of robotic surgeries as well. In several countries AR technology have been used in basic medical and advanced surgical training. Major challenges in implementing AR and VR in the field of health care persist in the domains of cyber security, ethical issues and cost effectiveness. Conclusion: VR and AR technology can maximise patient outcomes and rapidly develop satisfactory patient management in fields of cognitive research and surgical interventions. More clinical trials with immersive digital technologies are required. Ethical and cyber security challenges are present but there are ways to overcome them. It is our duty as physicians to participate in the development of these innovations to ensure virtual health reality benefits for our patients in real-world setting.</t>
  </si>
  <si>
    <t>[Ray, Sougat] Army Coll Med Sci, Dept Community Med, New Delhi, India; [Tawar, Shabeena] Armed Forces Med Coll, Dept Community Med, Pune, Maharashtra, India; [Singh, Neha] AIIMS, Dept Community Med, New Delhi, India; [Singh, Gurpreet] Air Force Stn, Dept Community Med, New Delhi, India</t>
  </si>
  <si>
    <t>Armed Forces Medical College; All India Institute of Medical Sciences (AIIMS) New Delhi</t>
  </si>
  <si>
    <t>Ray, S (corresponding author), West Block 3, New Delhi 110066, India.</t>
  </si>
  <si>
    <t>sougatray@hotmail.com</t>
  </si>
  <si>
    <t>WOLTERS KLUWER MEDKNOW PUBLICATIONS</t>
  </si>
  <si>
    <t>MUMBAI</t>
  </si>
  <si>
    <t>WOLTERS KLUWER INDIA PVT LTD , A-202, 2ND FLR, QUBE, C T S NO 1498A-2 VILLAGE MAROL, ANDHERI EAST, MUMBAI, Maharashtra, INDIA</t>
  </si>
  <si>
    <t>0975-3605</t>
  </si>
  <si>
    <t>2589-1235</t>
  </si>
  <si>
    <t>J MAR MED SOC</t>
  </si>
  <si>
    <t>J. Mar. Med. Soc.</t>
  </si>
  <si>
    <t>MAY-AUG</t>
  </si>
  <si>
    <t>10.4103/jmms.jmms_89_23</t>
  </si>
  <si>
    <t>G4Q6Q</t>
  </si>
  <si>
    <t>WOS:001316507300003</t>
  </si>
  <si>
    <t>Estival, S; Martin, JC; Renaud, J; Demulier, V</t>
  </si>
  <si>
    <t>Estival, S.; Martin, J. -c.; Renaud, J.; Demulier, V.</t>
  </si>
  <si>
    <t>State of the art of intervention techniques for the social skills training of workers with neurodevelopmental disorders</t>
  </si>
  <si>
    <t>PRATIQUES PSYCHOLOGIQUES</t>
  </si>
  <si>
    <t>Social skills; Autism; Work; Human-computer interaction; Intervention</t>
  </si>
  <si>
    <t>AUTISM SPECTRUM DISORDERS; YOUNG-ADULTS; SUPPORTED EMPLOYMENT; MENTAL-RETARDATION; ADAPTIVE-BEHAVIOR; IPOD TOUCH; INDIVIDUALS; CHILDREN; ADOLESCENTS; COMPETENCE</t>
  </si>
  <si>
    <t>Objectives. - People with disabilities and neurodevelopmental disorders, such as autistic people, often face unemployment or underemployment. This can be partly explained by their difficulties in social situations and in particular in the use of social skills. Obtaining and keeping a job has an important influence on the quality of life of individuals, which is why it is necessary to look at the possibilities of training these social skills. Methods. - The objective of this review is to examine the different methods of social skills training and to take into account the rise of new technologies in this type of intervention. Results. - There are different methods to train social skills such as social stories, social scripts or video modeling. Some of these methods can be adapted specifically to the work environment. The development of new technologies represents a real opportunity by proposing more personalised and accessible interventions in people's daily lives, for example, through the use of digital tools such as tablets or virtual reality. Conclusion. - Helping people with disabilities find and keep a job is an important societal issue. The characteristics of the work environment increase the specific challenges of people with neurodevelopmental disorders in the sphere of social interactions. Providing social skills training to workers with disabilities is important to facilitate their integration. The use of new technologies can help to personalise even more the care of these people. (c) 2023 Soci &amp; eacute;t &amp; eacute; Franc , aise de Psychologie. Published by Elsevier Masson SAS. All rights reserved.</t>
  </si>
  <si>
    <t>[Estival, S.; Martin, J. -c.; Demulier, V.] Univ Paris Saclay, Lab Interdisciplinaire Sci Numer, CNRS, Batiment 508,Rue John Von Neumann, F-91405 Orsay, France; [Renaud, J.] Auticiel, 3 Rue Jules Cesar, F-75012 Paris, France</t>
  </si>
  <si>
    <t>Centre National de la Recherche Scientifique (CNRS); Universite Paris Saclay</t>
  </si>
  <si>
    <t>Estival, S (corresponding author), Univ Paris Saclay, Lab Interdisciplinaire Sci Numer, CNRS, Batiment 508,Rue John Von Neumann, F-91405 Orsay, France.</t>
  </si>
  <si>
    <t>s.estival@live.fr</t>
  </si>
  <si>
    <t>1269-1763</t>
  </si>
  <si>
    <t>PRAT PSYCHOL</t>
  </si>
  <si>
    <t>Prat. Psychol.</t>
  </si>
  <si>
    <t>10.1016/j.prps.2023.04.001</t>
  </si>
  <si>
    <t>Psychology; Psychology, Multidisciplinary</t>
  </si>
  <si>
    <t>PZ1Z7</t>
  </si>
  <si>
    <t>WOS:001217822100001</t>
  </si>
  <si>
    <t>León, NG; González-Olguin, A</t>
  </si>
  <si>
    <t>Leon, N. Gonzalez; Gonzalez-Olguin, A.</t>
  </si>
  <si>
    <t>Motor intervention strategies on postural control in children and youth with autism spectrum disorder: A systematic review</t>
  </si>
  <si>
    <t>REHABILITACION</t>
  </si>
  <si>
    <t>Autism spectrum disorder; Autism; Postural control; Children; Youth</t>
  </si>
  <si>
    <t>PHYSICAL-ACTIVITY; SKILL INTERVENTION; BALANCE; RECOMMENDATIONS; COORDINATION; BEHAVIORS; EXERCISE; THERAPY; PROGRAM; AGE</t>
  </si>
  <si>
    <t>Autism spectrum disorder (ASD) has varied characteristics with an impact at the social, communicative and sensorimotor (SM) level. An SM feature is postural control (PC) problems. There are various motor intervention strategies (MIS), but the benefit over LC is something that has been analyzed less extensively. The objective was to describe the MIS and its results on the PC of children and adolescents with ASD. A search of PubMed, Scopus, Web of Science and Cochrane was performed. A total of eight articles met the eligibility criteria. All MIS showed beneficial results on the improvement of PC. The MIS were of a varied nature (dance practice, personalized physical activity, video games, Tai Chi Chuan, Taekwondo and virtual reality). It is necessary to improve the designs and consider the risks of bias, since they limit the scope of the results. (c) 2023 Sociedad Espanola ola de Rehabilitacion y Medicina F &amp; imath;sica. Published by Elsevier Espana, a, S.L.U. All rights reserved.</t>
  </si>
  <si>
    <t>[Leon, N. Gonzalez] Univ Andres Bello, Fac Ciencias Rehabil, Santiago, Chile; [Gonzalez-Olguin, A.] Univ Diego Portales, Escuela Kinesiol, Fac Salud &amp; Odontol, Santiago, Chile; [Gonzalez-Olguin, A.] Univ Las Amer, Escuela Kinesiol, Fac Salud &amp; Ciencias Sociales, Santiago, Chile; [Gonzalez-Olguin, A.] Univ Diego Portales, Fac Salud &amp; Odontol, Ctr Estudios Movimiento Humano, Santiago, Chile</t>
  </si>
  <si>
    <t>Universidad Andres Bello; University Diego Portales; Universidad de Las Americas - Chile; University Diego Portales</t>
  </si>
  <si>
    <t>González-Olguin, A (corresponding author), Univ Diego Portales, Escuela Kinesiol, Fac Salud &amp; Odontol, Santiago, Chile.;González-Olguin, A (corresponding author), Univ Las Amer, Escuela Kinesiol, Fac Salud &amp; Ciencias Sociales, Santiago, Chile.;González-Olguin, A (corresponding author), Univ Diego Portales, Fac Salud &amp; Odontol, Ctr Estudios Movimiento Humano, Santiago, Chile.</t>
  </si>
  <si>
    <t>arturo.gonzalez1@mail.udp.cl</t>
  </si>
  <si>
    <t>0048-7120</t>
  </si>
  <si>
    <t>1578-3278</t>
  </si>
  <si>
    <t>Rehabilitacion</t>
  </si>
  <si>
    <t>10.1016/j.rh.2023.100820</t>
  </si>
  <si>
    <t>I7X6P</t>
  </si>
  <si>
    <t>WOS:001332353300001</t>
  </si>
  <si>
    <t>Minissi, ME; Altozano, A; Marin-Morales, J; Centelles, N; Sirera, M; Abad, L; Alcaniz, M</t>
  </si>
  <si>
    <t>Minissi, Maria Eleonora; Altozano, Alberto; Marin-Morales, Javier; Centelles, Neus; Sirera, Marian; Abad, Luis; Alcaniz, Mariano</t>
  </si>
  <si>
    <t>Virtual reality and digital biomarkers: a clinical tool for early autism diagnosis</t>
  </si>
  <si>
    <t>autism; digital biomarkers; virtual reality; clinical assessment; machine learning</t>
  </si>
  <si>
    <t>Introduction: Autism Spectrum Disorder (ASD) is a neurodevelopmental condition which traditional assessment procedures encounter certain limitations. The current ASD research field is exploring and endorsing innovative methods to assess the disorder early on, based on the automatic detection of biomarkers. However, many of these procedures lack ecological validity in their measurements. In this context, virtual reality (VR) shows promise for objectively recording biosignals while users experience ecological situations. Methods: This study outlines a novel and playful VR procedure for the early assessment of ASD, relying on multimodal biosignal recording. During a VR experience featuring 12 virtual scenes, eye gaze, motor skills, electrodermal activity and behavioural performance were measured in 39 children with ASD and 42 control peers. Machine learning models were developed to identify digital biomarkers and classify autism. Results: Biosignals reported varied performance in detecting ASD, while the combined model resulting from the combination of specific-biosignal models demonstrated the ability to identify ASD with an accuracy of 83% (SD = 3%) and an AUC of 0.91 (SD = 0.04). Discussion: This screening tool may support ASD diagnosis by reinforcing the outcomes of traditional assessment procedures.</t>
  </si>
  <si>
    <t>[Minissi, Maria Eleonora; Altozano, Alberto; Alcaniz, Mariano] Univ Politecn Valencia, Inst Univ Invest Tecnol Ctr Ser Humano HUMAN tech, Valencia, Spain; [Centelles, Neus; Sirera, Marian; Abad, Luis] Ctr Desarrollo Cognit Red Cenit, Valencia, Spain; [Minissi, Maria Eleonora] Univ Politecn Valencia, I3B CPI cubo 8B,Camino vera s-n, Valencia 46022, Spain</t>
  </si>
  <si>
    <t>Universitat Politecnica de Valencia; Universitat Politecnica de Valencia</t>
  </si>
  <si>
    <t>Minissi, ME (corresponding author), Univ Politecn Valencia, I3B CPI cubo 8B,Camino vera s-n, Valencia 46022, Spain.</t>
  </si>
  <si>
    <t>Altozano, Alberto/0009-0006-3470-5836; Alcaniz, Mariano/0000-0001-9207-0636</t>
  </si>
  <si>
    <t>OP0U9</t>
  </si>
  <si>
    <t>WOS:001208370600006</t>
  </si>
  <si>
    <t>Abdalla, M; Hassan, H; Mostafa, N; Abdelghafar, S; Al-Kabbany, A; Hadhoud, M</t>
  </si>
  <si>
    <t>Abdalla, Moshira; Hassan, Heba; Mostafa, Nourhan; Abdelghafar, Sara; Al-Kabbany, Ahmad; Hadhoud, Mayada</t>
  </si>
  <si>
    <t>An NLP-based system for modulating virtual experiences using speech instructions</t>
  </si>
  <si>
    <t>Voice-controlled games; Voice interaction; Command recognition; Collaborative learning; Speech recognition; Virtual reality; Metaverse</t>
  </si>
  <si>
    <t>The application of virtual reality (VR) technology in rehabilitation is a research area that has been attracting remarkable attention recently, especially as an intervention with learning and developmental disorders such as dyslexia and autism. Multi-modal VR-based rehabilitative systems can provide a rich experience to patients by responding to various types of bio-signals. This paper proposes a framework for incorporating voice input in rehabilitative games. The proposed framework equips collaborative learning environments with voice based interaction which allows for a more dynamic flow of therapy sessions between physically impaired patients and specialists in a rehabilitative VR environment. The proposed framework's pipeline begins with a speech recognition module to parse utterances into sentences. Next, comes the feature extraction module to identify the intent of the user and entities as well. Finally, we modulate the 3D environment in Unity. The framework was designed in a way that guarantees smooth integration with any game or 3D environment. Several technologies were tested in terms of accuracy and speed to increase the overall performance of the pipeline. To the best of our knowledge, this research is the first to do the following: 1) build a dataset of instructions, inspired by a product already used in the healthcare market, 2) based on which we could realize a multi-modal system, with voice as one of the modalities, for the context of VR-based rehabilitation. We evaluate every stage in the system pipeline, and we show that we can achieve considerable results on each of these stages including the speech recognition module, with a 5.64% word error rate, and on intent classification where the BiLSTM model outperforms BERT in the Named Entity Recognition by 11% in terms of the F1-score. We envisage the proposed system to lend itself well to emerging healthcare frameworks in the Metaverse.</t>
  </si>
  <si>
    <t>[Abdalla, Moshira; Hassan, Heba; Mostafa, Nourhan; Abdelghafar, Sara] Univ Ottawa, Sch Elect Engn &amp; Comp Sci, Ottawa, ON, Canada; [Abdalla, Moshira] Khalifa Univ, Elect Engn &amp; Comp Sci, Abu Dhabi, U Arab Emirates; [Al-Kabbany, Ahmad] Arab Acad Sci Technol &amp; Maritime Transport, Intelligent Syst Lab, Alexandria 21937, Egypt; [Al-Kabbany, Ahmad] Arab Acad Sci Technol &amp; Maritime Transport, Multimedia Interact &amp; Commun Lab, Alexandria 21937, Egypt; [Al-Kabbany, Ahmad] Vrapeutic Inc, Dept Res &amp; Dev, Kanata, ON K1V 6T8, Canada; [Hadhoud, Mayada] Fac Engn, Comp Engn Dept, Cairo, Egypt; [Hadhoud, Mayada] Zewail City Sci &amp; Technol, Sch Computat Sci &amp; Artificial Intelligence CSAI, Giza 12578, Egypt; [Abdalla, Moshira] Ottawa Univ, Sch Elect Engn &amp; Comp Sci, Ottawa, ON, Canada</t>
  </si>
  <si>
    <t>University of Ottawa; Khalifa University of Science &amp; Technology; Egyptian Knowledge Bank (EKB); Arab Academy for Science, Technology &amp; Maritime Transport; Egyptian Knowledge Bank (EKB); Arab Academy for Science, Technology &amp; Maritime Transport; Egyptian Knowledge Bank (EKB); Zewail City of Science &amp; Technology; University of Ottawa</t>
  </si>
  <si>
    <t>Abdalla, M (corresponding author), Khalifa Univ, Elect Engn &amp; Comp Sci, Abu Dhabi, U Arab Emirates.;Abdalla, M (corresponding author), Ottawa Univ, Sch Elect Engn &amp; Comp Sci, Ottawa, ON, Canada.</t>
  </si>
  <si>
    <t>mabda053@uottawa.ca; hhass021@uOttawa.ca; nmost098@uottawa.ca; sabde056@uottawa.ca; alkabbany@aast.edu; mayada.hadhoud@eng.cu.edu.eg</t>
  </si>
  <si>
    <t>Abdelghafar, Sara/AAE-1847-2021; Al-Kabbany, Ahmad/AAR-3784-2020</t>
  </si>
  <si>
    <t>Abdalla, Moshira/0009-0008-2608-5352</t>
  </si>
  <si>
    <t>VRapeutic Inc</t>
  </si>
  <si>
    <t>This project is sponsored by VRapeutic Inc. which is a UNICEF Innovation Fund portfolio startup specializing in the design and development of rehabilitative solutions, with a focus on virtual reality for developmental disorders. A significant part of VRapeutic's research and development is focused on interaction innovation towards the goal of improving the quality of healthcare delivery (VRapeutic, 2020).</t>
  </si>
  <si>
    <t>SEP 1</t>
  </si>
  <si>
    <t>A</t>
  </si>
  <si>
    <t>10.1016/j.eswa.2024.123484</t>
  </si>
  <si>
    <t>OU1M6</t>
  </si>
  <si>
    <t>WOS:001209703600001</t>
  </si>
  <si>
    <t>Srivathsan, K; Bharath, S; Malini, A; Kumaravel, R; Sharma, V</t>
  </si>
  <si>
    <t>Srivathsan, K.; Bharath, S.; Malini, A.; Kumaravel, R.; Sharma, Vandana</t>
  </si>
  <si>
    <t>Extended virtual reality based memory enhancement model for autistic children using linear regression</t>
  </si>
  <si>
    <t>Play therapy; Gamification; Assistive technology; Unity; Machine learning; Power law of learning; Autism spectrum disorder; Practice session; Memory enhancement</t>
  </si>
  <si>
    <t>AUGMENTED REALITY</t>
  </si>
  <si>
    <t>Extended Virtual Reality has expanded its wings to almost each and every sector enabling immersive experience in various fields and has found applications in gamification, learning, healthcare, etc. This technology has aided in providing solutions to various problems in different fields, and healthcare is the most prominent one among them. Children suffering from ASD which is a developmental disorder affecting the brain that impacts how a person perceives external responses, are finding it increasingly difficult to get treated as the treatment methods are tedious. There are very few methods which are regarded as standardized means of treating autistic children but there are a few common traits that can be found in children affected by ASD which can be grouped under three common categories. They are lack of communication skills, lack of basic mathematical knowledge and low levels of remembrance. With the help of Gamification, which provides therapy by means of games to those affected, the kids affected by ASD can be treated, powered by the concept of Extended Virtual Reality. In this paper, we have developed a model to provide autistic children a real world experience of playing games which will help them in enhancing their skills without any external interferences. Children who play these Extended Virtual Reality based games show gradual improvement, for which the results can be facilitated with the help of a Linear Regression model, helping us predict future response times. The proposed model results in enhancement of memory levels of the kids as a result of the game and classifies kids based on their enhancement in memory into high, medium and low. The mean absolute error of the linear regression model is found to be 0.0394.</t>
  </si>
  <si>
    <t>[Srivathsan, K.; Bharath, S.; Malini, A.; Kumaravel, R.] Thiagarajar Coll Engn, Dept Comp Sci &amp; Business Syst, Madurai, Tamil Nadu, India; [Sharma, Vandana] CHRIST, Dept Computat Sci, Delhi 201003, India</t>
  </si>
  <si>
    <t>Thiagarajar College of Engineering</t>
  </si>
  <si>
    <t>Malini, A (corresponding author), Thiagarajar Coll Engn, Dept Comp Sci &amp; Business Syst, Madurai, Tamil Nadu, India.</t>
  </si>
  <si>
    <t>srivathsank@student.tce.edu; sbharath@student.tce.edu; amcse@tce.edu; kumaravel@student.tce.edu; vandana.juyal@gmail.com</t>
  </si>
  <si>
    <t>A, MALINI/AAE-4421-2019; Bharath, Siddharth/L-9502-2019; Sharma, Vandana/G-5363-2017</t>
  </si>
  <si>
    <t>A, Malini/0000-0002-3324-5317; Sharma, Vandana/0000-0002-8636-2365</t>
  </si>
  <si>
    <t>2024 JAN 13</t>
  </si>
  <si>
    <t>10.1007/s13198-023-02231-5</t>
  </si>
  <si>
    <t>JAN 2024</t>
  </si>
  <si>
    <t>EW2E4</t>
  </si>
  <si>
    <t>WOS:001141896100001</t>
  </si>
  <si>
    <t>Basri, MAFA; Ismail, WSW; Nor, NK; Tohit, NM; Samad, FDA; Ahmad, MN; Aun, NSM; Daud, TIM</t>
  </si>
  <si>
    <t>Basri, Mohd Akif Farhan Ahmad; Ismail, Wan Salwina Wan; Nor, Norazlin Kamal; Tohit, Noorlaili Mohd; Samad, Farah Deena Abdul; Ahmad, Mohammad Nazir; Aun, Nur Saadah Mohamad; Daud, Tuti Iryani Mohd</t>
  </si>
  <si>
    <t>Development of a Social Communication Skills Intervention Using Video Modeling and Spherical Video-Based Virtual Reality for High Functioning Autism Spectrum Disorder Youth: A Preliminary Study</t>
  </si>
  <si>
    <t>Training; Solid modeling; Education; Autism; Virtual reality; Task analysis; Interviews; INDEX TERMS Social communication skills; high functioning autism spectrum disorder; video modeling; spherical video-based virtual reality; cognitive behaviour technique</t>
  </si>
  <si>
    <t>COGNITIVE-BEHAVIORAL THERAPY; CHILDREN; INDIVIDUALS; ADOLESCENTS; ADULTS; CHALLENGES; STUDENTS; PEOPLE; SELF</t>
  </si>
  <si>
    <t>Cognitive and behavioral techniques have been found effective in teaching social communication skills to high functioning autism spectrum disorder (HFASD) youth, yet little research has explored their integration into video-based instructions like video modeling (VM) and spherical video-based virtual reality (SVVR). We developed a social communication skills intervention by integrating psychoeducation, deep breathing technique, first-person modeling, third-person modeling and skill rehearsal into VM and SVVR. This preliminary study aimed at evaluating the user experience of the intervention content. Ten HFASD youths and five experts went through 5 sessions of learning social communication skills via VM and skill rehearsals using SVVR. Upon completion, they went through semi-structured interviews about their user experience. Results revealed that psychoeducation was perceived as clear and practical, while the combination of first-person modeling and third-person modeling techniques helped them understand the message from different perspectives. The relaxation technique was deemed helpful, while SVVR skill rehearsal was viewed as realistic and immersive but less interactive. Suggestions for improvement included interactive SVVR features and inclusion of homework and parents' involvement. Our findings underscore the importance of integrating cognitive and behavioral techniques into VM and SVVR for HFASD intervention, shedding light on their practical application and potential benefits. SVVR emerged as a promising platform for skill rehearsal due to its immersive nature. This study contributes valuable insights for future research and practice in utilizing VM and SVVR for social communication skills training in HFASD.</t>
  </si>
  <si>
    <t>[Basri, Mohd Akif Farhan Ahmad; Ismail, Wan Salwina Wan; Samad, Farah Deena Abdul; Daud, Tuti Iryani Mohd] Univ Kebangsaan Malaysia, Fac Med, Dept Psychiat, Kuala Lumpur 56000, Malaysia; [Nor, Norazlin Kamal] Univ Kebangsaan Malaysia, Fac Med, Dept Paediat, Kuala Lumpur 56000, Malaysia; [Tohit, Noorlaili Mohd] Univ Kebangsaan Malaysia, Fac Med, Dept Family Med, Kuala Lumpur 56000, Malaysia; [Ahmad, Mohammad Nazir] Univ Kebangsaan Malaysia, Inst Visual Informat, Bandar Baru Bangi 43600, Selangor, Malaysia; [Aun, Nur Saadah Mohamad] Univ Kebangsaan Malaysia, Fac Social Sci &amp; Humanities, Ctr Res Psychol &amp; Human Well Being, Bandar Baru Bangi 43600, Selangor, Malaysia</t>
  </si>
  <si>
    <t>Ismail, WSW (corresponding author), Univ Kebangsaan Malaysia, Fac Med, Dept Psychiat, Kuala Lumpur 56000, Malaysia.</t>
  </si>
  <si>
    <t>AHMAD, Mohammad/AAU-7449-2020; Kamal Nor, Norazlin/P-8852-2019; Mohamad Aun, Nur Saadah/ABC-6661-2020; Mohd Daud, Tuti Iryani/M-5626-2017</t>
  </si>
  <si>
    <t>Kamal Nor, Norazlin/0000-0001-9959-8089; Wan Ismail, Wan Salwina/0000-0002-9364-5195; Ahmad Basri, Mohd Akif Farhan/0000-0002-4662-2468; Mohamad Aun, Nur Saadah/0000-0002-2034-4834; Mohd Daud, Tuti Iryani/0000-0002-9780-1191</t>
  </si>
  <si>
    <t>Trans-Disciplinary Research Grant Scheme (TRGS), Ministry of Higher Education (MOHE) Malaysia</t>
  </si>
  <si>
    <t>10.1109/ACCESS.2024.3407114</t>
  </si>
  <si>
    <t>TF9N1</t>
  </si>
  <si>
    <t>WOS:001239969100001</t>
  </si>
  <si>
    <t>Chaichitwanidchakol, P; Feungchan, W</t>
  </si>
  <si>
    <t>Chaichitwanidchakol, Pitsanu; Feungchan, Witcha</t>
  </si>
  <si>
    <t>Design and implementation of a breathing interaction system for autistic Thai children</t>
  </si>
  <si>
    <t>INTERNATIONAL JOURNAL OF MOBILE LEARNING AND ORGANISATION</t>
  </si>
  <si>
    <t>pervasive learning; virtual reality; VR; bio interaction; breath interaction; virtual feedback; simulation; autism; respiratory; hyperbaric oxygen therapy; HBOT; hypoxic-ischemic encephalopathy; HE</t>
  </si>
  <si>
    <t>THERAPY</t>
  </si>
  <si>
    <t>Hyperbaric oxygen therapy (HBOT) is utilised to treat a variety of abnormal symptoms and assist children with autism improve their development in a variety of areas. The goal of this study is to help children with autism practise breathing at a pace that is near normal in order to deliver more oxygen to the brain. As a result, breathing interactions with two VR games were created specifically for autistic youngsters. First, an ASD breathing game allows a child to interact with real-time respiration rate, the practitioners could assist the child to breathe near the norm. Second, an ASD underwater exercise game allows a youngster to practise breathing skills while underwater and in the water. It involves an interactional breathing pattern. Both games employ virtual reality (VR) technology to aid in teaching proper breathing techniques. The findings of the game test show that autistic children's usage of breathing interaction patterns is successful.</t>
  </si>
  <si>
    <t>[Chaichitwanidchakol, Pitsanu] Udonthani Rajabhat Univ, Fac Sci, Dept Comp Sci &amp; Informat Technol, Udon Thani 41000, Thailand; [Feungchan, Witcha] Khon Kaen Univ, Fac Engn, Dept Comp Engn, Khon Kaen 40002, Thailand</t>
  </si>
  <si>
    <t>Khon Kaen University</t>
  </si>
  <si>
    <t>Feungchan, W (corresponding author), Khon Kaen Univ, Fac Engn, Dept Comp Engn, Khon Kaen 40002, Thailand.</t>
  </si>
  <si>
    <t>pitsanu.ch@udru.ac.th; witcha@kku.ac.th</t>
  </si>
  <si>
    <t>INDERSCIENCE ENTERPRISES LTD</t>
  </si>
  <si>
    <t>GENEVA</t>
  </si>
  <si>
    <t>WORLD TRADE CENTER BLDG, 29 ROUTE DE PRE-BOIS, CASE POSTALE 856, CH-1215 GENEVA, SWITZERLAND</t>
  </si>
  <si>
    <t>1746-725X</t>
  </si>
  <si>
    <t>1746-7268</t>
  </si>
  <si>
    <t>INT J MOB LEARN ORG</t>
  </si>
  <si>
    <t>Int. J. Mob. Learn. Organ.</t>
  </si>
  <si>
    <t>10.1504/IJMLO.2024.135121</t>
  </si>
  <si>
    <t>OM4I1</t>
  </si>
  <si>
    <t>WOS:001207673100003</t>
  </si>
  <si>
    <t>Giuliana, GT</t>
  </si>
  <si>
    <t>Giuliana, Gianmarco Thierry</t>
  </si>
  <si>
    <t>USING SEMIOTICSTO DESIGN A VR VIDEOGAME FOR FACE PROCESSING REHABILITATION IN CHILDREN</t>
  </si>
  <si>
    <t>RETI SAPERI LINGUAGGI-ITALIAN JOURNAL OF COGNITIVE SCIENCES</t>
  </si>
  <si>
    <t>Semiotics; Cognitive Sciences; Seriousgames; Face; Autism</t>
  </si>
  <si>
    <t>AUTISM; BEHAVIORS; IMPACT</t>
  </si>
  <si>
    <t>In this paper we propose to use the semiotic knowledge on the face acquired by the ERC project &lt;&lt; FACETS &gt;&gt; for the creation of a serious games in VR capable of helping populations with difficulties in face processing. Differently from what is usually done, we propose to design a game rewarding cognitive operations of face processing by interacting with non-realistic atypical faces that corresponds to the face processing strategies developed by these populations. This proposal is made on the basis of a semiotic take on both face-processing and meaning-making in digital games, both of which are dynamic and strategic experiences that allow to acquire real-life knowledge in multiple ways. After briefly discussing these theoretical points, we take the concrete case of autism to examine existing literature on the face processing impairment in these subjects. We highlight how such impairment is due to the existence of a different pattern/strategy of face interpretation rather than just some incapacity, hence the possibility to improve face-processing by acting on the cognitive level of such strategies through a careful process of game design rewarding both the cognitive operations and social interactions made by healthy individuals. Finally, we examine part of the existing literature on the usage of both videogames and VR by and for the ASD population. From this review, we highlight how 1) there are no relevant risks in designing digital games and VR for these users 2) there are strong evidences of the potential benefits of using both videogames and VR 3) there are good reasons to think that the cognitive operations of face-processing can be improved in virtual environment 4) there is a regrettably general lack of VR gamified experiences for healthcare for this population and 5) our proposal is something unprecedented both from the point of view of a VR experience targeting face-processing and from the one of designing positive interactions with atypical faces.</t>
  </si>
  <si>
    <t>[Giuliana, Gianmarco Thierry] Univ Torino, Dipartimento Filosofia &amp; Sci Educ, Palazzo Nuovo,Via St Ottavio 20, I-10124 Turin, Italy</t>
  </si>
  <si>
    <t>University of Turin</t>
  </si>
  <si>
    <t>Giuliana, GT (corresponding author), Univ Torino, Dipartimento Filosofia &amp; Sci Educ, Palazzo Nuovo,Via St Ottavio 20, I-10124 Turin, Italy.</t>
  </si>
  <si>
    <t>gianmarcothierry.giuliana@unito.it</t>
  </si>
  <si>
    <t>European Research Council (ERC) under the European Union [819649]; European Research Council (ERC) [819649] Funding Source: European Research Council (ERC)</t>
  </si>
  <si>
    <t>European Research Council (ERC) under the European Union(European Research Council (ERC)); European Research Council (ERC)(European Research Council (ERC))</t>
  </si>
  <si>
    <t>This article results from a project that has received funding from the European Research Council (ERC) under the European Union's Horizon 2020 research and innovation programme (Grant agreement No 819649 - FACETS) .</t>
  </si>
  <si>
    <t>SOC ED IL MULINO</t>
  </si>
  <si>
    <t>BOLOGNA</t>
  </si>
  <si>
    <t>STRADA MAGGIORE 37, 40125 BOLOGNA, ITALY</t>
  </si>
  <si>
    <t>1826-8889</t>
  </si>
  <si>
    <t>2279-7777</t>
  </si>
  <si>
    <t>RETI SAPERI LINGUAGG</t>
  </si>
  <si>
    <t>Reti Saperi Linguaggi</t>
  </si>
  <si>
    <t>JAN-JUN</t>
  </si>
  <si>
    <t>Philosophy</t>
  </si>
  <si>
    <t>XL2V9</t>
  </si>
  <si>
    <t>WOS:001261783900009</t>
  </si>
  <si>
    <t>Krishnan, K; Jomhari, N; Ayyasamy, RK; Kareem, SA; Krishnan, S</t>
  </si>
  <si>
    <t>Krishnan, Kesavan; Jomhari, Nazean; Ayyasamy, Ramesh Kumar; Kareem, Sameem Abdul; Krishnan, Sathis</t>
  </si>
  <si>
    <t>A Framework for Developing Haptics Based Virtual Environment for Spatial Cognition Enhancement in Autistic People</t>
  </si>
  <si>
    <t>Haptic interfaces; Autism; Cognition; Reviews; Object recognition; Codes; spatial cognition; haptic technology; virtual environment; framework</t>
  </si>
  <si>
    <t>SPECTRUM DISORDERS; SIMULATION FRAMEWORK; CHILDREN; INDIVIDUALS; NAVIGATION; MEMORY; MODEL; SELECTION; FEEDBACK; ADULTS</t>
  </si>
  <si>
    <t>Autistic people typically need methodical support as they explore and interact with their immediate surroundings and the objects associated with them, emphasising the importance of spatial knowledge and cognitive skills in improving and understanding their surroundings. The objective of this research paper is to present a conceptual and technical framework that could be of significant assistance in developing spatial ability and cognitive skills in autistic people. This framework is constructed based on aspects of autistic behaviour, spatial cognition, and technical aspects of haptic technology and virtual environments (VEs). The framework uses the Model, View, Controller (MVC) pattern as its structural foundation. This paper highlights the important elements required for scholars and designers to create and develop a haptic-based virtual environment (HBVE) for autistic people in order to improve spatial knowledge and cognitive skills. Furthermore, this research also aimed to create an HBVE application based on the proposed framework in order to assess its effectiveness. This research paper evaluates the proposed framework based on end-user perspectives. The findings indicate that the experimental study conducted with autistic people has demonstrated notable progress in enhancing spatial knowledge and cognitive abilities among this population. The experimental implementation of these findings supports the developed framework's efficacy.</t>
  </si>
  <si>
    <t>[Krishnan, Kesavan; Jomhari, Nazean; Kareem, Sameem Abdul; Krishnan, Sathis] Univ Malaya, Fac Comp Sci &amp; Informat Technol, Dept Software Engn, Kuala Lumpur 50603, Malaysia; [Ayyasamy, Ramesh Kumar] Univ Tunku Abdul Rahman, Fac Informat &amp; Commun Technol, Kampar, Perak, Malaysia</t>
  </si>
  <si>
    <t>Universiti Malaya; Universiti Tunku Abdul Rahman (UTAR)</t>
  </si>
  <si>
    <t>Krishnan, K; Jomhari, N; Kareem, SA (corresponding author), Univ Malaya, Fac Comp Sci &amp; Informat Technol, Dept Software Engn, Kuala Lumpur 50603, Malaysia.;Ayyasamy, RK (corresponding author), Univ Tunku Abdul Rahman, Fac Informat &amp; Commun Technol, Kampar, Perak, Malaysia.</t>
  </si>
  <si>
    <t>kesavankrishnanrnp@gmail.com; nazean@um.edu.my; rameshkumar@utar.edu.my; sameem@um.edu.my</t>
  </si>
  <si>
    <t>Krishnan, Kesavan/I-4620-2016; Abdul Kareem, Sameem/B-2259-2009; JOMHARI, NAZEAN/B-9213-2010; Ayyasamy, Ramesh Kumar/R-9169-2017</t>
  </si>
  <si>
    <t>Krishnan, Kesavan/0000-0003-2495-0038; Krishnan, Sathis/0009-0008-1998-1992; Ayyasamy, Ramesh Kumar/0000-0002-3538-3887</t>
  </si>
  <si>
    <t>Universiti Malaya, Malaysia, and Universiti Tunku Abdul Rahman, Malaysia</t>
  </si>
  <si>
    <t>10.1109/ACCESS.2024.3397076</t>
  </si>
  <si>
    <t>QB7Q6</t>
  </si>
  <si>
    <t>WOS:001218489400001</t>
  </si>
  <si>
    <t>Musiol, A; Paluch, H; Samon-Drzewicka, A; Marcinkowska-Gapinska, A</t>
  </si>
  <si>
    <t>Musiol, Aleksandra; Paluch, Hanna; Samon-Drzewicka, Anna; Marcinkowska-Gapinska, Anna</t>
  </si>
  <si>
    <t>Clinical applications and efficacy of mirror neuron function</t>
  </si>
  <si>
    <t>JOURNAL OF MEDICAL SCIENCE</t>
  </si>
  <si>
    <t>mirror neurons; mirror therapy; stroke; phantom limb pain; complex regional pain syndrome; Bell's palsy</t>
  </si>
  <si>
    <t>PHANTOM LIMB PAIN; VISUAL FEEDBACK; STROKE PATIENTS; THERAPY; STIMULATION; PLASTICITY; IMITATION</t>
  </si>
  <si>
    <t>Mirror therapy aims to restore the function of a disabled body part by using the function of mirror neurons in the brain and mimicking the physiological activity of a healthy body part. Mirror neurons were first discovered in monkeys and later found to exist in humans. The working pattern of mirror in the brain is always the same. If one limb moves, the correct part of the brain activates and triggers the mirror neurons responsible for stimulating the other limbs. The therapy uses a box with a mirror on one side to hide the impaired limb.. When a healthy limb moves, the mirror reflects it. The brain perceives it as a movement of an inefficient limb, even though it is only an illusion. It drives the recruitment of neural joints and reconstructs neural pathways. The utilisation of mirror neurons holds significant value in various therapeutic approaches, including rehabilitation, mirror therapy (MT), and observational action therapy (AOT). Moreover, these therapeutic methods have evolved to include virtual reality (VR) based treatments. A significant effect of this treatment was present in phantom limb pain (PLP) and post-stroke syndromes, such as motor aphasia and hemiparesis of the lower or upper limb. There are reports on the use of MT in some mental diseases or in autistic people in learning emotions. This review outlines the current possibilities and hopes for therapies based on mirror neuron functions based on selected cases.</t>
  </si>
  <si>
    <t>[Musiol, Aleksandra; Paluch, Hanna; Samon-Drzewicka, Anna] Poznan Univ Med Sci, Poznan, Poland; [Marcinkowska-Gapinska, Anna] Poznan Univ Med Sci, Chair Biophys, Dept Biophys, Poznan, Poland</t>
  </si>
  <si>
    <t>Poznan University of Medical Sciences; Poznan University of Medical Sciences</t>
  </si>
  <si>
    <t>Marcinkowska-Gapinska, A (corresponding author), Poznan Univ Med Sci, Chair Biophys, Dept Biophys, Poznan, Poland.</t>
  </si>
  <si>
    <t>margap@ump.edu.pl</t>
  </si>
  <si>
    <t>POZNAN UNIV MEDICAL SCIENCES</t>
  </si>
  <si>
    <t>Poznan</t>
  </si>
  <si>
    <t>10 Fredry Street, Poznan, POLAND</t>
  </si>
  <si>
    <t>2353-9798</t>
  </si>
  <si>
    <t>2353-9801</t>
  </si>
  <si>
    <t>J MED SCI-POLAND</t>
  </si>
  <si>
    <t>J. Med. Sci.</t>
  </si>
  <si>
    <t>10.20883/medical.e931</t>
  </si>
  <si>
    <t>Medicine, General &amp; Internal; Medicine, Research &amp; Experimental</t>
  </si>
  <si>
    <t>General &amp; Internal Medicine; Research &amp; Experimental Medicine</t>
  </si>
  <si>
    <t>E8N4F</t>
  </si>
  <si>
    <t>WOS:001305510200008</t>
  </si>
  <si>
    <t>Power, M; Kennedy, S; Cleary, F; Mills, I; Kinsella, S; Celdrán, AH</t>
  </si>
  <si>
    <t>Power, Mark; Kennedy, Sara; Cleary, Frances; Mills, Ian; Kinsella, Sharon; Celdran, Alberto Huertas</t>
  </si>
  <si>
    <t>A Systematic Literature Review of XR Interventions to Improve Motor Skills Development Among Autistic Children</t>
  </si>
  <si>
    <t>Motors; Autism; Extended reality; Augmented reality; Soft sensors; Maintenance; Variable speed drives; autism spectrum disorder; data collection; extended reality; inclusive; education; motor skills; research design; systematic review; virtual reality</t>
  </si>
  <si>
    <t>PHYSICAL-ACTIVITY; VIRTUAL-REALITY; AUGMENTED REALITY; SPECTRUM DISORDER; ADOLESCENTS; TECHNOLOGY; PREVALENCE; BARRIERS; PEOPLE; ASD</t>
  </si>
  <si>
    <t>Autism is a developmental condition that affects motor skill development. There is a lack of comprehensive research exploring the potential benefits of extended reality (XR) technologies, including virtual reality (VR) and augmented reality (AR), for improving motor skills in autistic children. This systematic literature review (SLR) addresses this research gap by investigating XR-based interventions targeting motor skill development in autistic children. The SLR analysed 15 primary studies published between 2012 and 2024, examining the use of VR and AR to improve motor skill development in autistic children. The interventions ranged from one session to 12 weeks, lasting 12 to 45 minutes, and targeted various body movements. XR platforms and devices used included VR headsets, motion capture systems, and exercise bikes. Recurrent neural networks, dynamic difficulty adjustment, and behaviour trees were employed to enhance intervention dynamics and extract valuable insights from collected data. The results suggest that using XR interventions has significant potential to improve physical activity levels and motor skills development among autistic children. However, the research designs varied, with only one study including their intervention framework's generalisation and maintenance phases. This study offers an encouraging avenue for future research and intervention design in this field.</t>
  </si>
  <si>
    <t>[Power, Mark; Kennedy, Sara] South East Technol Univ, Dept Nursing &amp; Healthcare, Waterford X91K0EK, Ireland; [Cleary, Frances; Mills, Ian] South East Technol Univ, Walton Inst, Waterford, Ireland; [Kinsella, Sharon] South East Technol Univ, Dept Hlth &amp; Sport Sci, Carlow R93V960, Ireland; [Celdran, Alberto Huertas] Univ Zurich, Commun Syst Grp, CH-8050 Zurich, Switzerland</t>
  </si>
  <si>
    <t>University of Zurich</t>
  </si>
  <si>
    <t>Power, M (corresponding author), South East Technol Univ, Dept Nursing &amp; Healthcare, Waterford X91K0EK, Ireland.</t>
  </si>
  <si>
    <t>mark.power@postgrad.wit.ie</t>
  </si>
  <si>
    <t>Kinsella, Sharon/ITV-6369-2023; Kinsella, Sharon/Q-9588-2016</t>
  </si>
  <si>
    <t>Power, Mark/0000-0003-3172-619X; Kinsella, Sharon/0000-0001-9051-4467; Huertas Celdran, Alberto/0000-0001-7125-1710; Mills, Ian/0000-0003-3984-0755</t>
  </si>
  <si>
    <t>Scholarship from the Irish Research Council</t>
  </si>
  <si>
    <t>This work was supported in part by a Scholarship from the Irish Research Council.</t>
  </si>
  <si>
    <t>10.1109/ACCESS.2024.3438361</t>
  </si>
  <si>
    <t>C8N7G</t>
  </si>
  <si>
    <t>WOS:001291885800001</t>
  </si>
  <si>
    <t>Harada, Y; Wada, M</t>
  </si>
  <si>
    <t>Harada, Yuki; Wada, Makoto</t>
  </si>
  <si>
    <t>Autism-related traits are related to effectiveness of immersive visual guidance on spatial cognitive ability: a pilot study</t>
  </si>
  <si>
    <t>autistic trait; systemizing cognition; empathizing cognition; spatial cognition; immersive visual guidance; visual search; spatial localization</t>
  </si>
  <si>
    <t>HIGH-FUNCTIONING AUTISM; ASPERGER-SYNDROME; QUOTIENT; ADULTS</t>
  </si>
  <si>
    <t>A head-mounted display could potentially restrict users' visual fields and thereby impair their spatial cognitive ability. Spatial cognition can be assisted with immersive visual guidance. However, whether this technique is useful for individuals with autism-spectrum disorder (ASD) remains unclear. Given the recent virtual reality (VR) contents targeting individuals with ASD, the relationship between ASD-related traits and the effectiveness of immersive visual guidance should be clarified. This pilot study evaluated how ASD-related traits (autistic traits and empathizing-systemizing cognitive styles) among typically developing individuals are related to the effectiveness of visual guidance. Participants performed visual search and spatial localization tasks while using immersive visual guidance. In the visual search task, participants searched immersive VR environments for a target object and pushed a button according to the target color as quickly as possible. In the localization task, they viewed immersive visual guidance for a short duration and localized the guided direction via a controller. Results showed that visual search times were hastened with systemizing cognition. However, ASD-related traits were not significantly related to localization accuracy. These findings suggest that immersive visual guidance is generally useful for individuals with higher ASD-related traits.</t>
  </si>
  <si>
    <t>[Harada, Yuki] Kyoto Univ Adv Sci, Fac Humanities, Kyoto, Japan; [Harada, Yuki; Wada, Makoto] Natl Rehabil Ctr Persons Disabil, Res Inst, Dept Rehabil Brain Funct, Dev Disorders Sect, Tokorozawa, Japan</t>
  </si>
  <si>
    <t>Harada, Y (corresponding author), Kyoto Univ Adv Sci, Fac Humanities, Kyoto, Japan.;Harada, Y (corresponding author), Natl Rehabil Ctr Persons Disabil, Res Inst, Dept Rehabil Brain Funct, Dev Disorders Sect, Tokorozawa, Japan.</t>
  </si>
  <si>
    <t>haradayuuki00@gmail.com</t>
  </si>
  <si>
    <t>Japan Society for the Promotion of Science KAKENHI [20K19855, 21H05053, 23K12937]; Grants-in-Aid for Scientific Research [21H05053, 23K12937] Funding Source: KAKEN</t>
  </si>
  <si>
    <t>Japan Society for the Promotion of Science KAKENHI(Ministry of Education, Culture, Sports, Science and Technology, Japan (MEXT)Japan Society for the Promotion of ScienceGrants-in-Aid for Scientific Research (KAKENHI)); Grants-in-Aid for Scientific Research(Ministry of Education, Culture, Sports, Science and Technology, Japan (MEXT)Japan Society for the Promotion of ScienceGrants-in-Aid for Scientific Research (KAKENHI))</t>
  </si>
  <si>
    <t>The author(s) declare financial support was received for the research, authorship, and/or publication of this article. This work was partially supported by the Japan Society for the Promotion of Science KAKENHI (grant numbers 20K19855, 21H05053, and 23K12937) for the equipment, payment to participants, and publication fees.</t>
  </si>
  <si>
    <t>NOV 30</t>
  </si>
  <si>
    <t>10.3389/frvir.2023.1291516</t>
  </si>
  <si>
    <t>CD1V2</t>
  </si>
  <si>
    <t>WOS:001123229700001</t>
  </si>
  <si>
    <t>Felnhofer, A</t>
  </si>
  <si>
    <t>Felnhofer, Anna</t>
  </si>
  <si>
    <t>Opportunities of Virtual Reality in the Therapy of Children and Adolescents</t>
  </si>
  <si>
    <t>PAEDIATRIE UND PAEDOLOGIE</t>
  </si>
  <si>
    <t>VR-glasses; Exposure therapy; Pain; Serious games; Biofeedback</t>
  </si>
  <si>
    <t>PAIN</t>
  </si>
  <si>
    <t>Virtual reality (VR) has been successfully used for decades in the treatment of anxiety disorders. With the advent of affordable hardware (VR goggles) and the increase of commercial providers for corresponding software, VR therapy is also gaining importance beyond classical application areas. Apart from adults, children and adolescents are increasingly benefitting from VR therapy. Therefore, this article aims to provide a cursory insight into the opportunities of VR in pediatrics as well as child and adolescent psychiatry. The areas of application presented here range from exposure therapy with VR, its use in eating disorders, and VR-based training for attention deficit hyperactivity disorder (ADHD) or autism spectrum disorders (ASD) to VR-based biofeedback systems and VR interventions for acute pain conditions.</t>
  </si>
  <si>
    <t>[Felnhofer, Anna] Med Univ Wien, Univ Klin Kinder &amp; Jugendheilkunde, Klin Abt Padiatr Pulmol Allergologie &amp; Endokrinolo, Wahringer Gurtel 18-20,Fach 27, A-1090 Vienna, Austria; [Felnhofer, Anna] Med Univ Wien, Comprehens Ctr Pediat, CCP, Vienna, Austria</t>
  </si>
  <si>
    <t>Medical University of Vienna; Medical University of Vienna</t>
  </si>
  <si>
    <t>Felnhofer, A (corresponding author), Med Univ Wien, Univ Klin Kinder &amp; Jugendheilkunde, Klin Abt Padiatr Pulmol Allergologie &amp; Endokrinolo, Wahringer Gurtel 18-20,Fach 27, A-1090 Vienna, Austria.;Felnhofer, A (corresponding author), Med Univ Wien, Comprehens Ctr Pediat, CCP, Vienna, Austria.</t>
  </si>
  <si>
    <t>anna.felnhofer@meduniwien.ac.at</t>
  </si>
  <si>
    <t>Felnhofer, Anna/D-6458-2017</t>
  </si>
  <si>
    <t>Medical University of Vienna</t>
  </si>
  <si>
    <t>Open access funding provided by Medical University of Vienna</t>
  </si>
  <si>
    <t>0030-9338</t>
  </si>
  <si>
    <t>1613-7558</t>
  </si>
  <si>
    <t>PADIATR PADOL</t>
  </si>
  <si>
    <t>PAEDIATR. PAEDOL.</t>
  </si>
  <si>
    <t>SUPPL 2</t>
  </si>
  <si>
    <t>10.1007/s00608-023-01112-1</t>
  </si>
  <si>
    <t>AUG 2023</t>
  </si>
  <si>
    <t>CB7C3</t>
  </si>
  <si>
    <t>WOS:001041244900002</t>
  </si>
  <si>
    <t>Bermúdez, CMC; Serrano-Martínez, C</t>
  </si>
  <si>
    <t>Bermudez, Claudia Maria Chivite; Serrano-Martinez, Cecilia</t>
  </si>
  <si>
    <t>Quality of life and social inclusion of people with autism spectrum disorder. The usefulness of the use of digital tools in social intervention</t>
  </si>
  <si>
    <t>REVISTA ESPANOLA DE DISCAPACIDAD-REDIS</t>
  </si>
  <si>
    <t>Autism spectrum disorder; Social Labour; virtual reality; artificial intelligence; information and communication technologies</t>
  </si>
  <si>
    <t>SKILLS; CHILDREN</t>
  </si>
  <si>
    <t>The aim of this study is to research on the use of new technologies in social intervention oriented to improve the quality of life of people with Autism Spectrum Disorder (ASD). After a conceptualisation of quality of life and social inclusion, a bibliographical search has been carried out, with special emphasis on virtual reality, new technologies and social skills. Likewise, a reflection has been made on the value of Information and Communication Technologies (ICT) in the intervention through Social Labour o Social Services. The present study makes visible a series of specific actions and projects aimed at the intervention with people with autism though ICTs. Among the main findings, the absence of the social worker's role within the analysed projects is worth highlighting. As future lines of study and intervention, this research offers a series of considerations focused on the importance of Social Labour in those initiatives that combine digital, communicational and artificial intelligence, among other elements that can facilitate social intervention.</t>
  </si>
  <si>
    <t>[Bermudez, Claudia Maria Chivite; Serrano-Martinez, Cecilia] Univ La Rioja, Logrono, Spain</t>
  </si>
  <si>
    <t>Universidad de La Rioja</t>
  </si>
  <si>
    <t>Bermúdez, CMC (corresponding author), Univ La Rioja, Logrono, Spain.</t>
  </si>
  <si>
    <t>claudiachivitebermudez@gmail.com; cecilia.serrano@unirioja.es</t>
  </si>
  <si>
    <t>CENTRO ESPANOL DOCUMENTACION DISCAPACIDAD-CEDD</t>
  </si>
  <si>
    <t>REAL PATRONATO DISCAPACIDAD, CALLE SERRANO, 140, MADRID, 28006, SPAIN</t>
  </si>
  <si>
    <t>2340-5104</t>
  </si>
  <si>
    <t>REV ESP DISCAPAC-RED</t>
  </si>
  <si>
    <t>Rev. Esp. Discapac.-REDIS</t>
  </si>
  <si>
    <t>10.5569/2340-5104.11.01.04</t>
  </si>
  <si>
    <t>L0RX2</t>
  </si>
  <si>
    <t>WOS:001020424300004</t>
  </si>
  <si>
    <t>Minissi, ME; Gómez-Zaragozá, L; Maddalon, L; Marín-Morales, J; Mantovani, F; Sirera, M; Abad, L; Cervera-Torres, S; Chicchi Giglioli, IA; Alcañiz, M</t>
  </si>
  <si>
    <t>Eleonora Minissi, Maria; Gomez-Zaragoza, Lucia; Maddalon, Luna; Marin-Morales, Javier; Mantovani, Fabrizia; Sirera, Marian; Abad, Luis; Cervera-Torres, Sergio; Chicchi Giglioli, Irene Alice; Alcaniz, Mariano</t>
  </si>
  <si>
    <t>The Electrodermal Activity of Children with ASD in Virtual Reality Tasks Resembling Regular Actions</t>
  </si>
  <si>
    <t>autism spectrum disorder; virtual reality; sensory dysfunction; children; electrodermal activity</t>
  </si>
  <si>
    <t>The diagnosis of autism spectrum disorder ( ASD) is made through qualitative procedures addressed to children and their caregivers. On the one hand, these procedures are administered in anonymous settings with reduced ecological validity. On the other, they measure the child's behaviours qualitatively, without using objective and implicit measurements that tap into the biological basis of the disorder. It is necessary to overcome these limitations by introducing ecological settings and objective measures related to the nuclear symptoms of the disorder. In this context, the present study wanted to test the feasibility of a virtual reality (VR) procedure to investigate different patterns in the electrodermal activity (EDA) between children with ASD and their peers with typical development (TD). Fifteen children with ASD and 15 with TD measured their EDA during baseline recording. Then, they performed three interactive virtual tasks resembling regular actions. They were to take game-based and non-game-based goal-directed actions. The results reinforced previous evidence on EDA differences in children with ASD during baseline recording compared to their peers with TD. They also suggested a potential relation between EDA at baseline and the diagnostic score indexes in the ASD group. Finally, this study reported the presence of different EDA patterns in children with ASD when they are asked to perform non-game-based virtual activities in which the upper limb movement is required to take goal-directed actions. This evidence might be relevant for implementing VR systems for the early and quantitative detection of ASD.</t>
  </si>
  <si>
    <t>[Eleonora Minissi, Maria; Gomez-Zaragoza, Lucia; Maddalon, Luna; Marin-Morales, Javier; Cervera-Torres, Sergio; Chicchi Giglioli, Irene Alice; Alcaniz, Mariano] Univ Politecn Valencia, Inst Univ Invest Tecnol Centrada Ser Humano HUMAN, Valencia, Spain; [Mantovani, Fabrizia] Univ Milano Bicocca, Ctr Studies Commun Sci Luigi Anolli CESCOM, Dept Human Sci Educ Riccardo Massa, Milan, Italy; [Sirera, Marian; Abad, Luis] Ctr Desarrollo Cognit Red Cenit, Valencia, Spain</t>
  </si>
  <si>
    <t>Minissi, ME (corresponding author), Univ Politecn Valencia, Inst Univ Invest Tecnol Centrada Ser Humano HUMAN, Valencia, Spain.</t>
  </si>
  <si>
    <t>meminiss@htech.upv.es</t>
  </si>
  <si>
    <t>Marin, Javier/AAL-1463-2020; Mantovani, Fabrizia/AFM-7854-2022; Alcañiz, Mariano/CAG-6569-2022; Cervera Torres, Sergio/AAC-7168-2020; Alcaniz, Mariano/I-9659-2016</t>
  </si>
  <si>
    <t>Cervera Torres, Sergio/0000-0003-1689-4654; Alcaniz, Mariano/0000-0001-9207-0636</t>
  </si>
  <si>
    <t>AA9S4</t>
  </si>
  <si>
    <t>WOS:001115856700027</t>
  </si>
  <si>
    <t>George, CL; Valentino, A; D'Anna-Hernandez, K; Becker, EA</t>
  </si>
  <si>
    <t>George, Cheryl L.; Valentino, Amber; D'Anna-Hernandez, Kimberly; Becker, Elizabeth A.</t>
  </si>
  <si>
    <t>Virtual Reality Biking Reduces Cortisol Levels and Repetitive Behaviors in Adults with Autism Spectrum Disorder</t>
  </si>
  <si>
    <t>Virtual reality bicycling; Autism spectrum disorders; Adults; Stress; Behavior</t>
  </si>
  <si>
    <t>PHYSICAL-EXERCISE; STEREOTYPIC BEHAVIORS; HAIR CORTISOL; YOUNG-ADULTS; STRESS; INDIVIDUALS; ADOLESCENTS; CHILDREN; ANXIETY; DEPRESSION</t>
  </si>
  <si>
    <t>ObjectivesIndividuals with autism spectrum disorder (ASD) report experiencing stress, which increases with age. Few studies have included the biological stress response for measuring stress. While aerobic exercise can lower stress and repetitive behaviors, motivating adults with disabilities to exercise can be challenging. This study examined whether virtual reality (VR) exercise would improve behavior and stress physiology.MethodsSeven males with ASD participated. This study employed a single subject withdrawal design, using a baseline phase, followed by alternating intervention (i.e., VR biking) and withdrawal (i.e., no exercise) conditions. Frequency and/or duration of repetitive behaviors were assessed. Pre-post intervention hair cortisol and salivary cortisol for each phase were collected.ResultsOverall, repetitive behaviors were lower in the final phase (M = 24.28, SD = 2.42) compared to baseline (M = 36.68, SD = 5.33). There was no significant difference in basal T1 cortisol levels across phases (chi(2)(6) = 2.571, p &lt; .276); however, four participants showed cortisol levels that decreased markedly following the first intervention and remained low for the duration of the study. There was a significant difference in the cortisol levels of participants by pre and post intervention status (first intervention phase, B) as measured by AUCg (chi(2)(1) = 7.00, p &lt; .008).ConclusionsThis study demonstrates that exercise can have acute and cumulative effects on basal cortisol levels and repetitive behaviors for adults with ASD, particularly those with higher cortisol levels and rates of behaviors.</t>
  </si>
  <si>
    <t>[George, Cheryl L.] St Josephs Univ, Dept Special Educ, Philadelphia, PA 19131 USA; [Valentino, Amber; Becker, Elizabeth A.] St Josephs Univ, Dept Psychol, Philadelphia, PA USA; [D'Anna-Hernandez, Kimberly] Marquette Univ, Dept Psychol, Milwaukee, WI USA; [Becker, Elizabeth A.] Lawrence Univ, Dept Psychol &amp; Neurosci, Appleton, WI USA</t>
  </si>
  <si>
    <t>Saint Joseph's University; Saint Joseph's University; Marquette University; Lawrence University</t>
  </si>
  <si>
    <t>George, CL (corresponding author), St Josephs Univ, Dept Special Educ, Philadelphia, PA 19131 USA.</t>
  </si>
  <si>
    <t>cgeorge@sju.edu</t>
  </si>
  <si>
    <t>George, Cheryl/0000-0001-5439-5894</t>
  </si>
  <si>
    <t>10.1007/s41252-023-00326-5</t>
  </si>
  <si>
    <t>MAR 2023</t>
  </si>
  <si>
    <t>X7GV6</t>
  </si>
  <si>
    <t>WOS:000949602200001</t>
  </si>
  <si>
    <t>Li, C; Ip, HHS; Ma, PK</t>
  </si>
  <si>
    <t>Li, Chen; Ip, Horace Ho Shing; Ma, Po-Ke</t>
  </si>
  <si>
    <t>Experiential learning for children with autism spectrum disorder using virtual reality headsets: a preliminary report</t>
  </si>
  <si>
    <t>INTERNATIONAL JOURNAL OF INNOVATION AND LEARNING</t>
  </si>
  <si>
    <t>experiential learning; virtual reality; autism spectrum disorder; ASD</t>
  </si>
  <si>
    <t>Kolb's experiential learning model (ELM) is one of the most widely applied learning theories for virtual reality enabled learning because in the authentic and highly interactive virtual environment, learning activities could be designed to encourage learners to actively experiment and to allow learners to observe and reflect on instant feedback and results from the experiment. This paper aims to address two fundamental questions related to the applying of ELM for the design of social competence learning in the virtual reality environment for children with autism spectrum disorder (ASD) through an exploratory study involving three children with the clinical diagnosis of ASD but diverse abilities on the spectrum. Observations show that children with ASD generally need more time to adapt to the headsets and often need facilitation during learning; providing in-VR facilitation and support in the form of pre-programmed visual and voice instructions and feedback are critical to the success of their learning.</t>
  </si>
  <si>
    <t>[Li, Chen] Hong Kong Polytech Univ, Dept Comp, Hung Hom, Kowloon, Hong Kong, Peoples R China; [Ip, Horace Ho Shing; Ma, Po-Ke] City Univ Hong Kong, Ctr Innovat Applicat Internet &amp; Multimedia Techno, Kowloon Tong, Kowloon, Hong Kong, Peoples R China</t>
  </si>
  <si>
    <t>Hong Kong Polytechnic University; City University of Hong Kong</t>
  </si>
  <si>
    <t>Li, C (corresponding author), Hong Kong Polytech Univ, Dept Comp, Hung Hom, Kowloon, Hong Kong, Peoples R China.</t>
  </si>
  <si>
    <t>richard-chen.li@polyu.edu.hk; horace.ip@cityu.edu.hk; pokema@cityu.edu.hk</t>
  </si>
  <si>
    <t>Quality Education Fund [2016/0260]</t>
  </si>
  <si>
    <t>Quality Education Fund</t>
  </si>
  <si>
    <t>The authors would like to thank the families and the caretakers of the children who participated in this study as well as the schoolteachers involved. This work was partially supported by the Quality Education Fund (Project No.: 2016/0260).</t>
  </si>
  <si>
    <t>1471-8197</t>
  </si>
  <si>
    <t>1741-8089</t>
  </si>
  <si>
    <t>INT J INNOV LEARN</t>
  </si>
  <si>
    <t>Int. J. Innov. Learn.</t>
  </si>
  <si>
    <t>Management</t>
  </si>
  <si>
    <t>Business &amp; Economics</t>
  </si>
  <si>
    <t>WI7BQ</t>
  </si>
  <si>
    <t>WOS:000708512900004</t>
  </si>
  <si>
    <t>Turner, M</t>
  </si>
  <si>
    <t>Turner, Mark</t>
  </si>
  <si>
    <t>Robots, mirror, neurons, virtual reality and autism</t>
  </si>
  <si>
    <t>PSYCHOLOGIST</t>
  </si>
  <si>
    <t>To address a growing public awareness and apparent increase in prevalence of autism (Prior, 2003), psychologists need to devise improved treatment options based on the latest scientific discoveries. One popular treatment option is the use of 'psychoeducational' intervention strategies. The use of such strategies by educationists might be more fruitful in helping children with autism with the added application of scientific methods that seem to monitor what has been called a 'mirror neuron' (MN) dysfunction in autism. So why do MN system dysfunction and difficulties in imitation apply to children with autism, and how can educationists facilitate such discoveries for the benefit of those affected?</t>
  </si>
  <si>
    <t>markalext@hotmail.com</t>
  </si>
  <si>
    <t>BRITISH PSYCHOLOGICAL SOC</t>
  </si>
  <si>
    <t>LEICESTER</t>
  </si>
  <si>
    <t>ST ANDREWS HOUSE, 48 PRINCESS RD EAST, LEICESTER LE1 7DR, LEICS, ENGLAND</t>
  </si>
  <si>
    <t>0952-8229</t>
  </si>
  <si>
    <t>Psychologist</t>
  </si>
  <si>
    <t>341ZF</t>
  </si>
  <si>
    <t>WOS:000258753700014</t>
  </si>
  <si>
    <t>Number</t>
  </si>
  <si>
    <t>http://dx.doi.org/10.1146/annurev-clinpsy-081219-115923</t>
  </si>
  <si>
    <t>http://dx.doi.org/10.1007/s40593-024-00422-0</t>
  </si>
  <si>
    <t>http://dx.doi.org/10.1016/j.ridd.2024.104771</t>
  </si>
  <si>
    <t>http://dx.doi.org/10.1080/10494820.2022.2146139</t>
  </si>
  <si>
    <t>http://dx.doi.org/10.1016/j.compedu.2017.09.010</t>
  </si>
  <si>
    <t>http://dx.doi.org/10.1016/j.ajp.2024.104241</t>
  </si>
  <si>
    <t>http://dx.doi.org/10.1177/0162643420945603</t>
  </si>
  <si>
    <t>http://dx.doi.org/10.1089/g4h.2023.0240</t>
  </si>
  <si>
    <t>http://dx.doi.org/10.3390/su141610170</t>
  </si>
  <si>
    <t>http://dx.doi.org/10.3390/bs12050138</t>
  </si>
  <si>
    <t>http://dx.doi.org/10.3389/fpsyt.2019.00505</t>
  </si>
  <si>
    <t>http://dx.doi.org/10.1007/s10639-020-10392-0</t>
  </si>
  <si>
    <t>http://dx.doi.org/10.1080/10494820.2022.2107681</t>
  </si>
  <si>
    <t>http://dx.doi.org/10.1007/s12264-024-01190-6</t>
  </si>
  <si>
    <t>http://dx.doi.org/10.1007/s10639-024-12844-3</t>
  </si>
  <si>
    <t>http://dx.doi.org/10.1016/j.chb.2016.04.033</t>
  </si>
  <si>
    <t>http://dx.doi.org/10.1016/j.compedu.2016.03.018</t>
  </si>
  <si>
    <t>http://dx.doi.org/10.1007/s10639-019-10050-0</t>
  </si>
  <si>
    <t>http://dx.doi.org/10.3390/children9020181</t>
  </si>
  <si>
    <t>http://dx.doi.org/10.2196/45836</t>
  </si>
  <si>
    <t>http://dx.doi.org/10.3390/electronics12112497</t>
  </si>
  <si>
    <t>http://dx.doi.org/10.1109/MPULS.2021.3113092</t>
  </si>
  <si>
    <t>Publication type</t>
  </si>
  <si>
    <t>Book authors</t>
  </si>
  <si>
    <t>Book editors</t>
  </si>
  <si>
    <t>Book group authors</t>
  </si>
  <si>
    <t>Author full names</t>
  </si>
  <si>
    <t>Book author full names</t>
  </si>
  <si>
    <t>Group authors</t>
  </si>
  <si>
    <t>Article title</t>
  </si>
  <si>
    <t>Source title</t>
  </si>
  <si>
    <t>Book series title</t>
  </si>
  <si>
    <t>Book series subtitle</t>
  </si>
  <si>
    <t>Document type</t>
  </si>
  <si>
    <t>Conference title</t>
  </si>
  <si>
    <t>Conference date</t>
  </si>
  <si>
    <t>Conference location</t>
  </si>
  <si>
    <t>Conference sponsor</t>
  </si>
  <si>
    <t>Conference host</t>
  </si>
  <si>
    <t>Author keywords</t>
  </si>
  <si>
    <t>Reprint addresses</t>
  </si>
  <si>
    <t>Email addresses</t>
  </si>
  <si>
    <t>Researcher IDs</t>
  </si>
  <si>
    <t>Funding organization</t>
  </si>
  <si>
    <t>Funding name preferred</t>
  </si>
  <si>
    <t>Funding text</t>
  </si>
  <si>
    <t>Cited reference count</t>
  </si>
  <si>
    <t>Times cited, WoS Core</t>
  </si>
  <si>
    <t>Times Cited, all databases</t>
  </si>
  <si>
    <t>180 day usage count</t>
  </si>
  <si>
    <t>Since 2013 usage count</t>
  </si>
  <si>
    <t>Publisher city</t>
  </si>
  <si>
    <t>Publisher address</t>
  </si>
  <si>
    <t>Journal abbreviation</t>
  </si>
  <si>
    <t>Journal ISO abbreviation</t>
  </si>
  <si>
    <t>Publication date</t>
  </si>
  <si>
    <t>Publication year</t>
  </si>
  <si>
    <t>Part number</t>
  </si>
  <si>
    <t>Special issue</t>
  </si>
  <si>
    <t>Meeting abstract</t>
  </si>
  <si>
    <t>Start page</t>
  </si>
  <si>
    <t>End page</t>
  </si>
  <si>
    <t>Article number</t>
  </si>
  <si>
    <t>Early access date</t>
  </si>
  <si>
    <t>Number of pages</t>
  </si>
  <si>
    <t>WoS categories</t>
  </si>
  <si>
    <t>Web of Science index</t>
  </si>
  <si>
    <t>Research areas</t>
  </si>
  <si>
    <t>IDS number</t>
  </si>
  <si>
    <t>Open access designations</t>
  </si>
  <si>
    <t>Highly cited status</t>
  </si>
  <si>
    <t>Hot paper status</t>
  </si>
  <si>
    <t>Date of export</t>
  </si>
  <si>
    <t>Web of Science record</t>
  </si>
  <si>
    <t>Times cited, all databases</t>
  </si>
  <si>
    <t>Web of Science record link</t>
  </si>
  <si>
    <t>Table S1. Initial search</t>
  </si>
  <si>
    <t>Table S2. Most cited papers</t>
  </si>
  <si>
    <t xml:space="preserve"> Table S3. Most visited papers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</si>
</sst>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1"/>
      <color theme="1"/>
      <name val="Calibri"/>
      <family val="2"/>
      <scheme val="minor"/>
    </font>
    <font>
      <sz val="11"/>
      <color theme="1"/>
      <name val="Calibri"/>
      <family val="2"/>
      <scheme val="minor"/>
    </font>
    <font>
      <b/>
      <sz val="10"/>
      <name val="Arial"/>
      <family val="2"/>
    </font>
    <font>
      <b/>
      <sz val="11"/>
      <name val="Times New Roman"/>
      <family val="1"/>
    </font>
    <font>
      <b/>
      <sz val="11"/>
      <color theme="1"/>
      <name val="Calibri"/>
      <family val="2"/>
      <scheme val="minor"/>
    </font>
    <font>
      <sz val="10"/>
      <name val="Arial"/>
      <family val="2"/>
    </font>
    <font>
      <i/>
      <sz val="10"/>
      <name val="Arial"/>
      <family val="2"/>
    </font>
    <font>
      <i/>
      <sz val="11"/>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39">
    <xf numFmtId="0" fontId="0" fillId="0" borderId="0" xfId="0"/>
    <xf numFmtId="0" fontId="4" fillId="2" borderId="0" xfId="1" applyFont="1" applyFill="1" applyAlignment="1">
      <alignment wrapText="1"/>
    </xf>
    <xf numFmtId="0" fontId="2" fillId="0" borderId="0" xfId="1"/>
    <xf numFmtId="0" fontId="5" fillId="0" borderId="0" xfId="1" applyFont="1"/>
    <xf numFmtId="0" fontId="3" fillId="0" borderId="0" xfId="0" applyFont="1"/>
    <xf numFmtId="0" fontId="0" fillId="0" borderId="0" xfId="0" applyAlignment="1">
      <alignment horizontal="center" vertical="top"/>
    </xf>
    <xf numFmtId="0" fontId="5" fillId="0" borderId="0" xfId="1" applyFont="1" applyAlignment="1">
      <alignment horizontal="left" vertical="top"/>
    </xf>
    <xf numFmtId="0" fontId="5" fillId="2" borderId="1" xfId="1" applyFont="1" applyFill="1" applyBorder="1" applyAlignment="1">
      <alignment horizontal="center" vertical="top"/>
    </xf>
    <xf numFmtId="0" fontId="2" fillId="0" borderId="1" xfId="1" applyBorder="1" applyAlignment="1">
      <alignment horizontal="center" vertical="top"/>
    </xf>
    <xf numFmtId="0" fontId="2" fillId="0" borderId="0" xfId="1" applyAlignment="1">
      <alignment horizontal="center" vertical="top"/>
    </xf>
    <xf numFmtId="0" fontId="2" fillId="0" borderId="0" xfId="1" applyAlignment="1">
      <alignment vertical="top"/>
    </xf>
    <xf numFmtId="0" fontId="1" fillId="0" borderId="0" xfId="1" applyFont="1"/>
    <xf numFmtId="0" fontId="7" fillId="0" borderId="0" xfId="0" applyFont="1" applyAlignment="1">
      <alignment horizontal="center" vertical="top"/>
    </xf>
    <xf numFmtId="0" fontId="3" fillId="0" borderId="1" xfId="0" applyFont="1" applyBorder="1"/>
    <xf numFmtId="0" fontId="3" fillId="0" borderId="1" xfId="0" applyFont="1" applyBorder="1" applyAlignment="1">
      <alignment horizontal="center" vertical="top"/>
    </xf>
    <xf numFmtId="0" fontId="3" fillId="2" borderId="1" xfId="1" applyFont="1" applyFill="1" applyBorder="1" applyAlignment="1">
      <alignment horizontal="left" vertical="top"/>
    </xf>
    <xf numFmtId="0" fontId="3" fillId="3" borderId="1" xfId="1" applyFont="1" applyFill="1" applyBorder="1" applyAlignment="1">
      <alignment horizontal="left" vertical="top"/>
    </xf>
    <xf numFmtId="0" fontId="3" fillId="0" borderId="1" xfId="1" applyFont="1" applyBorder="1" applyAlignment="1">
      <alignment horizontal="left" vertical="top"/>
    </xf>
    <xf numFmtId="0" fontId="2" fillId="0" borderId="0" xfId="1" applyAlignment="1">
      <alignment horizontal="left" vertical="top"/>
    </xf>
    <xf numFmtId="0" fontId="2" fillId="0" borderId="0" xfId="1" applyAlignment="1">
      <alignment horizontal="center" vertical="top" wrapText="1"/>
    </xf>
    <xf numFmtId="0" fontId="5" fillId="2" borderId="1" xfId="1" applyFont="1" applyFill="1" applyBorder="1" applyAlignment="1">
      <alignment horizontal="center" vertical="top" wrapText="1"/>
    </xf>
    <xf numFmtId="0" fontId="2" fillId="0" borderId="1" xfId="1" applyBorder="1" applyAlignment="1">
      <alignment horizontal="center" vertical="top" wrapText="1"/>
    </xf>
    <xf numFmtId="0" fontId="2" fillId="3" borderId="1" xfId="1" applyFill="1" applyBorder="1" applyAlignment="1">
      <alignment horizontal="center" vertical="top"/>
    </xf>
    <xf numFmtId="0" fontId="6" fillId="0" borderId="1" xfId="1" applyFont="1" applyBorder="1" applyAlignment="1">
      <alignment horizontal="center" vertical="top" wrapText="1"/>
    </xf>
    <xf numFmtId="0" fontId="3" fillId="0" borderId="1" xfId="1" applyFont="1" applyBorder="1" applyAlignment="1">
      <alignment horizontal="left" vertical="top" wrapText="1"/>
    </xf>
    <xf numFmtId="0" fontId="6" fillId="3" borderId="1" xfId="1" applyFont="1" applyFill="1" applyBorder="1" applyAlignment="1">
      <alignment horizontal="left" vertical="top" wrapText="1"/>
    </xf>
    <xf numFmtId="0" fontId="6" fillId="0" borderId="1" xfId="1" applyFont="1" applyBorder="1" applyAlignment="1">
      <alignment horizontal="left" vertical="top" wrapText="1"/>
    </xf>
    <xf numFmtId="0" fontId="1" fillId="0" borderId="0" xfId="1" applyFont="1" applyAlignment="1">
      <alignment horizontal="left" vertical="top"/>
    </xf>
    <xf numFmtId="0" fontId="1" fillId="0" borderId="0" xfId="1" applyFont="1" applyAlignment="1">
      <alignment horizontal="center" vertical="top"/>
    </xf>
    <xf numFmtId="0" fontId="7" fillId="0" borderId="1" xfId="1" applyFont="1" applyBorder="1" applyAlignment="1">
      <alignment horizontal="center" vertical="top" wrapText="1"/>
    </xf>
    <xf numFmtId="0" fontId="6" fillId="3" borderId="2" xfId="1" applyFont="1" applyFill="1" applyBorder="1" applyAlignment="1">
      <alignment horizontal="center" vertical="top" wrapText="1"/>
    </xf>
    <xf numFmtId="0" fontId="1" fillId="0" borderId="1" xfId="1" applyFont="1" applyBorder="1" applyAlignment="1">
      <alignment horizontal="center" vertical="top" wrapText="1"/>
    </xf>
    <xf numFmtId="0" fontId="8" fillId="0" borderId="1" xfId="1" applyFont="1" applyBorder="1" applyAlignment="1">
      <alignment horizontal="center" vertical="top" wrapText="1"/>
    </xf>
    <xf numFmtId="0" fontId="1" fillId="3" borderId="2" xfId="1" applyFont="1" applyFill="1" applyBorder="1" applyAlignment="1">
      <alignment horizontal="center" vertical="top" wrapText="1"/>
    </xf>
    <xf numFmtId="0" fontId="1" fillId="0" borderId="2" xfId="1" applyFont="1" applyBorder="1" applyAlignment="1">
      <alignment horizontal="center" vertical="top" wrapText="1"/>
    </xf>
    <xf numFmtId="0" fontId="6" fillId="0" borderId="2" xfId="1" applyFont="1" applyBorder="1" applyAlignment="1">
      <alignment horizontal="center" vertical="top" wrapText="1"/>
    </xf>
    <xf numFmtId="0" fontId="8" fillId="0" borderId="0" xfId="1" applyFont="1" applyAlignment="1">
      <alignment horizontal="center" vertical="top"/>
    </xf>
    <xf numFmtId="0" fontId="5" fillId="2" borderId="2" xfId="1" applyFont="1" applyFill="1" applyBorder="1" applyAlignment="1">
      <alignment horizontal="center" vertical="top"/>
    </xf>
    <xf numFmtId="0" fontId="1" fillId="0" borderId="1" xfId="1" applyFont="1" applyBorder="1" applyAlignment="1">
      <alignment horizontal="center" vertical="top"/>
    </xf>
  </cellXfs>
  <cellStyles count="2">
    <cellStyle name="Normal" xfId="0" builtinId="0"/>
    <cellStyle name="Normal 2" xfId="1" xr:uid="{42A24B17-DE3E-4039-A219-D5A4E50210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0E59E-5EC0-4BA8-8B44-7BF52B2785BA}">
  <dimension ref="A1:BU400"/>
  <sheetViews>
    <sheetView tabSelected="1" zoomScale="70" zoomScaleNormal="70" workbookViewId="0">
      <selection activeCell="AF2" sqref="AF2"/>
    </sheetView>
  </sheetViews>
  <sheetFormatPr defaultColWidth="8.88671875" defaultRowHeight="13.2" x14ac:dyDescent="0.25"/>
  <cols>
    <col min="1" max="1" width="17.44140625" customWidth="1"/>
    <col min="2" max="2" width="35.88671875" style="5" customWidth="1"/>
    <col min="3" max="9" width="9.109375" style="5"/>
    <col min="10" max="10" width="9.109375" style="12"/>
    <col min="11" max="73" width="9.109375" style="5"/>
  </cols>
  <sheetData>
    <row r="1" spans="1:73" x14ac:dyDescent="0.25">
      <c r="A1" s="4" t="s">
        <v>7719</v>
      </c>
    </row>
    <row r="2" spans="1:73" s="13" customFormat="1" x14ac:dyDescent="0.25">
      <c r="A2" s="13" t="s">
        <v>7665</v>
      </c>
      <c r="B2" s="14" t="s">
        <v>0</v>
      </c>
      <c r="C2" s="14" t="s">
        <v>7666</v>
      </c>
      <c r="D2" s="14" t="s">
        <v>7667</v>
      </c>
      <c r="E2" s="14" t="s">
        <v>7668</v>
      </c>
      <c r="F2" s="14" t="s">
        <v>7669</v>
      </c>
      <c r="G2" s="14" t="s">
        <v>7670</v>
      </c>
      <c r="H2" s="14" t="s">
        <v>7671</v>
      </c>
      <c r="I2" s="14" t="s">
        <v>7672</v>
      </c>
      <c r="J2" s="14" t="s">
        <v>7673</v>
      </c>
      <c r="K2" s="14" t="s">
        <v>7674</v>
      </c>
      <c r="L2" s="14" t="s">
        <v>7675</v>
      </c>
      <c r="M2" s="14" t="s">
        <v>1</v>
      </c>
      <c r="N2" s="14" t="s">
        <v>7676</v>
      </c>
      <c r="O2" s="14" t="s">
        <v>7677</v>
      </c>
      <c r="P2" s="14" t="s">
        <v>7678</v>
      </c>
      <c r="Q2" s="14" t="s">
        <v>7679</v>
      </c>
      <c r="R2" s="14" t="s">
        <v>7680</v>
      </c>
      <c r="S2" s="14" t="s">
        <v>7681</v>
      </c>
      <c r="T2" s="14" t="s">
        <v>7682</v>
      </c>
      <c r="U2" s="14" t="s">
        <v>2</v>
      </c>
      <c r="V2" s="14" t="s">
        <v>3</v>
      </c>
      <c r="W2" s="14" t="s">
        <v>4</v>
      </c>
      <c r="X2" s="14" t="s">
        <v>5</v>
      </c>
      <c r="Y2" s="14" t="s">
        <v>7683</v>
      </c>
      <c r="Z2" s="14" t="s">
        <v>7684</v>
      </c>
      <c r="AA2" s="14" t="s">
        <v>7685</v>
      </c>
      <c r="AB2" s="14" t="s">
        <v>6</v>
      </c>
      <c r="AC2" s="14" t="s">
        <v>7686</v>
      </c>
      <c r="AD2" s="14" t="s">
        <v>7687</v>
      </c>
      <c r="AE2" s="14" t="s">
        <v>7688</v>
      </c>
      <c r="AF2" s="14" t="s">
        <v>7689</v>
      </c>
      <c r="AG2" s="14" t="s">
        <v>7690</v>
      </c>
      <c r="AH2" s="14" t="s">
        <v>7691</v>
      </c>
      <c r="AI2" s="14" t="s">
        <v>7692</v>
      </c>
      <c r="AJ2" s="14" t="s">
        <v>7693</v>
      </c>
      <c r="AK2" s="14" t="s">
        <v>7</v>
      </c>
      <c r="AL2" s="14" t="s">
        <v>7694</v>
      </c>
      <c r="AM2" s="14" t="s">
        <v>7695</v>
      </c>
      <c r="AN2" s="14" t="s">
        <v>8</v>
      </c>
      <c r="AO2" s="14" t="s">
        <v>9</v>
      </c>
      <c r="AP2" s="14" t="s">
        <v>10</v>
      </c>
      <c r="AQ2" s="14" t="s">
        <v>7696</v>
      </c>
      <c r="AR2" s="14" t="s">
        <v>7697</v>
      </c>
      <c r="AS2" s="14" t="s">
        <v>7698</v>
      </c>
      <c r="AT2" s="14" t="s">
        <v>7699</v>
      </c>
      <c r="AU2" s="14" t="s">
        <v>11</v>
      </c>
      <c r="AV2" s="14" t="s">
        <v>12</v>
      </c>
      <c r="AW2" s="14" t="s">
        <v>7700</v>
      </c>
      <c r="AX2" s="14" t="s">
        <v>13</v>
      </c>
      <c r="AY2" s="14" t="s">
        <v>7701</v>
      </c>
      <c r="AZ2" s="14" t="s">
        <v>7702</v>
      </c>
      <c r="BA2" s="14" t="s">
        <v>7703</v>
      </c>
      <c r="BB2" s="14" t="s">
        <v>7704</v>
      </c>
      <c r="BC2" s="14" t="s">
        <v>7705</v>
      </c>
      <c r="BD2" s="14" t="s">
        <v>14</v>
      </c>
      <c r="BE2" s="14" t="s">
        <v>15</v>
      </c>
      <c r="BF2" s="14" t="s">
        <v>16</v>
      </c>
      <c r="BG2" s="14" t="s">
        <v>7706</v>
      </c>
      <c r="BH2" s="14" t="s">
        <v>7707</v>
      </c>
      <c r="BI2" s="14" t="s">
        <v>7708</v>
      </c>
      <c r="BJ2" s="14" t="s">
        <v>7709</v>
      </c>
      <c r="BK2" s="14" t="s">
        <v>7710</v>
      </c>
      <c r="BL2" s="14" t="s">
        <v>7711</v>
      </c>
      <c r="BM2" s="14" t="s">
        <v>17</v>
      </c>
      <c r="BN2" s="14" t="s">
        <v>7712</v>
      </c>
      <c r="BO2" s="14" t="s">
        <v>7713</v>
      </c>
      <c r="BP2" s="14" t="s">
        <v>7714</v>
      </c>
      <c r="BQ2" s="14" t="s">
        <v>7715</v>
      </c>
      <c r="BR2" s="14" t="s">
        <v>18</v>
      </c>
      <c r="BS2" s="14" t="s">
        <v>7716</v>
      </c>
      <c r="BT2" s="14"/>
      <c r="BU2" s="14"/>
    </row>
    <row r="3" spans="1:73" x14ac:dyDescent="0.25">
      <c r="A3" t="s">
        <v>19</v>
      </c>
      <c r="B3" s="5" t="s">
        <v>20</v>
      </c>
      <c r="C3" s="5" t="s">
        <v>21</v>
      </c>
      <c r="D3" s="5" t="s">
        <v>21</v>
      </c>
      <c r="E3" s="5" t="s">
        <v>21</v>
      </c>
      <c r="F3" s="5" t="s">
        <v>22</v>
      </c>
      <c r="G3" s="5" t="s">
        <v>21</v>
      </c>
      <c r="H3" s="5" t="s">
        <v>21</v>
      </c>
      <c r="I3" s="5" t="s">
        <v>23</v>
      </c>
      <c r="J3" s="12" t="s">
        <v>24</v>
      </c>
      <c r="K3" s="5" t="s">
        <v>21</v>
      </c>
      <c r="L3" s="5" t="s">
        <v>21</v>
      </c>
      <c r="M3" s="5" t="s">
        <v>25</v>
      </c>
      <c r="N3" s="5" t="s">
        <v>26</v>
      </c>
      <c r="O3" s="5" t="s">
        <v>21</v>
      </c>
      <c r="P3" s="5" t="s">
        <v>21</v>
      </c>
      <c r="Q3" s="5" t="s">
        <v>21</v>
      </c>
      <c r="R3" s="5" t="s">
        <v>21</v>
      </c>
      <c r="S3" s="5" t="s">
        <v>21</v>
      </c>
      <c r="T3" s="5" t="s">
        <v>27</v>
      </c>
      <c r="U3" s="5" t="s">
        <v>28</v>
      </c>
      <c r="V3" s="5" t="s">
        <v>29</v>
      </c>
      <c r="W3" s="5" t="s">
        <v>30</v>
      </c>
      <c r="X3" s="5" t="s">
        <v>31</v>
      </c>
      <c r="Y3" s="5" t="s">
        <v>32</v>
      </c>
      <c r="Z3" s="5" t="s">
        <v>33</v>
      </c>
      <c r="AA3" s="5" t="s">
        <v>21</v>
      </c>
      <c r="AB3" s="5" t="s">
        <v>34</v>
      </c>
      <c r="AC3" s="5" t="s">
        <v>21</v>
      </c>
      <c r="AD3" s="5" t="s">
        <v>21</v>
      </c>
      <c r="AE3" s="5" t="s">
        <v>21</v>
      </c>
      <c r="AF3" s="5">
        <v>39</v>
      </c>
      <c r="AG3" s="5">
        <v>378</v>
      </c>
      <c r="AH3" s="5">
        <v>446</v>
      </c>
      <c r="AI3" s="5">
        <v>15</v>
      </c>
      <c r="AJ3" s="5">
        <v>208</v>
      </c>
      <c r="AK3" s="5" t="s">
        <v>35</v>
      </c>
      <c r="AL3" s="5" t="s">
        <v>36</v>
      </c>
      <c r="AM3" s="5" t="s">
        <v>37</v>
      </c>
      <c r="AN3" s="5" t="s">
        <v>38</v>
      </c>
      <c r="AO3" s="5" t="s">
        <v>39</v>
      </c>
      <c r="AP3" s="5" t="s">
        <v>21</v>
      </c>
      <c r="AQ3" s="5" t="s">
        <v>40</v>
      </c>
      <c r="AR3" s="5" t="s">
        <v>41</v>
      </c>
      <c r="AS3" s="5" t="s">
        <v>42</v>
      </c>
      <c r="AT3" s="5">
        <v>2013</v>
      </c>
      <c r="AU3" s="5">
        <v>43</v>
      </c>
      <c r="AV3" s="5">
        <v>1</v>
      </c>
      <c r="AW3" s="5" t="s">
        <v>21</v>
      </c>
      <c r="AX3" s="5" t="s">
        <v>21</v>
      </c>
      <c r="AY3" s="5" t="s">
        <v>21</v>
      </c>
      <c r="AZ3" s="5" t="s">
        <v>21</v>
      </c>
      <c r="BA3" s="5">
        <v>34</v>
      </c>
      <c r="BB3" s="5">
        <v>44</v>
      </c>
      <c r="BC3" s="5" t="s">
        <v>21</v>
      </c>
      <c r="BD3" s="5" t="s">
        <v>43</v>
      </c>
      <c r="BE3" s="5" t="str">
        <f>HYPERLINK("http://dx.doi.org/10.1007/s10803-012-1544-6","http://dx.doi.org/10.1007/s10803-012-1544-6")</f>
        <v>http://dx.doi.org/10.1007/s10803-012-1544-6</v>
      </c>
      <c r="BF3" s="5" t="s">
        <v>21</v>
      </c>
      <c r="BG3" s="5" t="s">
        <v>21</v>
      </c>
      <c r="BH3" s="5">
        <v>11</v>
      </c>
      <c r="BI3" s="5" t="s">
        <v>44</v>
      </c>
      <c r="BJ3" s="5" t="s">
        <v>45</v>
      </c>
      <c r="BK3" s="5" t="s">
        <v>46</v>
      </c>
      <c r="BL3" s="5" t="s">
        <v>47</v>
      </c>
      <c r="BM3" s="5">
        <v>22570145</v>
      </c>
      <c r="BN3" s="5" t="s">
        <v>48</v>
      </c>
      <c r="BO3" s="5" t="s">
        <v>21</v>
      </c>
      <c r="BP3" s="5" t="s">
        <v>21</v>
      </c>
      <c r="BQ3" s="5" t="s">
        <v>49</v>
      </c>
      <c r="BR3" s="5" t="s">
        <v>50</v>
      </c>
      <c r="BS3" s="5" t="str">
        <f>HYPERLINK("https%3A%2F%2Fwww.webofscience.com%2Fwos%2Fwoscc%2Ffull-record%2FWOS:000313073700004","View Full Record in Web of Science")</f>
        <v>View Full Record in Web of Science</v>
      </c>
    </row>
    <row r="4" spans="1:73" x14ac:dyDescent="0.25">
      <c r="A4" t="s">
        <v>19</v>
      </c>
      <c r="B4" s="5" t="s">
        <v>51</v>
      </c>
      <c r="C4" s="5" t="s">
        <v>21</v>
      </c>
      <c r="D4" s="5" t="s">
        <v>21</v>
      </c>
      <c r="E4" s="5" t="s">
        <v>21</v>
      </c>
      <c r="F4" s="5" t="s">
        <v>52</v>
      </c>
      <c r="G4" s="5" t="s">
        <v>21</v>
      </c>
      <c r="H4" s="5" t="s">
        <v>21</v>
      </c>
      <c r="I4" s="5" t="s">
        <v>53</v>
      </c>
      <c r="J4" s="12" t="s">
        <v>54</v>
      </c>
      <c r="K4" s="5" t="s">
        <v>21</v>
      </c>
      <c r="L4" s="5" t="s">
        <v>21</v>
      </c>
      <c r="M4" s="5" t="s">
        <v>25</v>
      </c>
      <c r="N4" s="5" t="s">
        <v>26</v>
      </c>
      <c r="O4" s="5" t="s">
        <v>21</v>
      </c>
      <c r="P4" s="5" t="s">
        <v>21</v>
      </c>
      <c r="Q4" s="5" t="s">
        <v>21</v>
      </c>
      <c r="R4" s="5" t="s">
        <v>21</v>
      </c>
      <c r="S4" s="5" t="s">
        <v>21</v>
      </c>
      <c r="T4" s="5" t="s">
        <v>55</v>
      </c>
      <c r="U4" s="5" t="s">
        <v>56</v>
      </c>
      <c r="V4" s="5" t="s">
        <v>57</v>
      </c>
      <c r="W4" s="5" t="s">
        <v>58</v>
      </c>
      <c r="X4" s="5" t="s">
        <v>59</v>
      </c>
      <c r="Y4" s="5" t="s">
        <v>60</v>
      </c>
      <c r="Z4" s="5" t="s">
        <v>61</v>
      </c>
      <c r="AA4" s="5" t="s">
        <v>62</v>
      </c>
      <c r="AB4" s="5" t="s">
        <v>21</v>
      </c>
      <c r="AC4" s="5" t="s">
        <v>21</v>
      </c>
      <c r="AD4" s="5" t="s">
        <v>21</v>
      </c>
      <c r="AE4" s="5" t="s">
        <v>21</v>
      </c>
      <c r="AF4" s="5">
        <v>97</v>
      </c>
      <c r="AG4" s="5">
        <v>300</v>
      </c>
      <c r="AH4" s="5">
        <v>347</v>
      </c>
      <c r="AI4" s="5">
        <v>8</v>
      </c>
      <c r="AJ4" s="5">
        <v>148</v>
      </c>
      <c r="AK4" s="5" t="s">
        <v>63</v>
      </c>
      <c r="AL4" s="5" t="s">
        <v>64</v>
      </c>
      <c r="AM4" s="5" t="s">
        <v>65</v>
      </c>
      <c r="AN4" s="5" t="s">
        <v>66</v>
      </c>
      <c r="AO4" s="5" t="s">
        <v>67</v>
      </c>
      <c r="AP4" s="5" t="s">
        <v>21</v>
      </c>
      <c r="AQ4" s="5" t="s">
        <v>54</v>
      </c>
      <c r="AR4" s="5" t="s">
        <v>68</v>
      </c>
      <c r="AS4" s="5" t="s">
        <v>69</v>
      </c>
      <c r="AT4" s="5">
        <v>2014</v>
      </c>
      <c r="AU4" s="5">
        <v>18</v>
      </c>
      <c r="AV4" s="5">
        <v>4</v>
      </c>
      <c r="AW4" s="5" t="s">
        <v>21</v>
      </c>
      <c r="AX4" s="5" t="s">
        <v>21</v>
      </c>
      <c r="AY4" s="5" t="s">
        <v>21</v>
      </c>
      <c r="AZ4" s="5" t="s">
        <v>21</v>
      </c>
      <c r="BA4" s="5">
        <v>346</v>
      </c>
      <c r="BB4" s="5">
        <v>361</v>
      </c>
      <c r="BC4" s="5" t="s">
        <v>21</v>
      </c>
      <c r="BD4" s="5" t="s">
        <v>70</v>
      </c>
      <c r="BE4" s="5" t="str">
        <f>HYPERLINK("http://dx.doi.org/10.1177/1362361313476767","http://dx.doi.org/10.1177/1362361313476767")</f>
        <v>http://dx.doi.org/10.1177/1362361313476767</v>
      </c>
      <c r="BF4" s="5" t="s">
        <v>21</v>
      </c>
      <c r="BG4" s="5" t="s">
        <v>21</v>
      </c>
      <c r="BH4" s="5">
        <v>16</v>
      </c>
      <c r="BI4" s="5" t="s">
        <v>44</v>
      </c>
      <c r="BJ4" s="5" t="s">
        <v>45</v>
      </c>
      <c r="BK4" s="5" t="s">
        <v>46</v>
      </c>
      <c r="BL4" s="5" t="s">
        <v>71</v>
      </c>
      <c r="BM4" s="5">
        <v>24092843</v>
      </c>
      <c r="BN4" s="5" t="s">
        <v>21</v>
      </c>
      <c r="BO4" s="5" t="s">
        <v>21</v>
      </c>
      <c r="BP4" s="5" t="s">
        <v>21</v>
      </c>
      <c r="BQ4" s="5" t="s">
        <v>49</v>
      </c>
      <c r="BR4" s="5" t="s">
        <v>72</v>
      </c>
      <c r="BS4" s="5" t="str">
        <f>HYPERLINK("https%3A%2F%2Fwww.webofscience.com%2Fwos%2Fwoscc%2Ffull-record%2FWOS:000334377400001","View Full Record in Web of Science")</f>
        <v>View Full Record in Web of Science</v>
      </c>
    </row>
    <row r="5" spans="1:73" x14ac:dyDescent="0.25">
      <c r="A5" t="s">
        <v>19</v>
      </c>
      <c r="B5" s="5" t="s">
        <v>73</v>
      </c>
      <c r="C5" s="5" t="s">
        <v>21</v>
      </c>
      <c r="D5" s="5" t="s">
        <v>21</v>
      </c>
      <c r="E5" s="5" t="s">
        <v>21</v>
      </c>
      <c r="F5" s="5" t="s">
        <v>73</v>
      </c>
      <c r="G5" s="5" t="s">
        <v>21</v>
      </c>
      <c r="H5" s="5" t="s">
        <v>21</v>
      </c>
      <c r="I5" s="5" t="s">
        <v>74</v>
      </c>
      <c r="J5" s="12" t="s">
        <v>75</v>
      </c>
      <c r="K5" s="5" t="s">
        <v>21</v>
      </c>
      <c r="L5" s="5" t="s">
        <v>21</v>
      </c>
      <c r="M5" s="5" t="s">
        <v>25</v>
      </c>
      <c r="N5" s="5" t="s">
        <v>76</v>
      </c>
      <c r="O5" s="5" t="s">
        <v>21</v>
      </c>
      <c r="P5" s="5" t="s">
        <v>21</v>
      </c>
      <c r="Q5" s="5" t="s">
        <v>21</v>
      </c>
      <c r="R5" s="5" t="s">
        <v>21</v>
      </c>
      <c r="S5" s="5" t="s">
        <v>21</v>
      </c>
      <c r="T5" s="5" t="s">
        <v>77</v>
      </c>
      <c r="U5" s="5" t="s">
        <v>78</v>
      </c>
      <c r="V5" s="5" t="s">
        <v>79</v>
      </c>
      <c r="W5" s="5" t="s">
        <v>80</v>
      </c>
      <c r="X5" s="5" t="s">
        <v>81</v>
      </c>
      <c r="Y5" s="5" t="s">
        <v>82</v>
      </c>
      <c r="Z5" s="5" t="s">
        <v>21</v>
      </c>
      <c r="AA5" s="5" t="s">
        <v>21</v>
      </c>
      <c r="AB5" s="5" t="s">
        <v>21</v>
      </c>
      <c r="AC5" s="5" t="s">
        <v>21</v>
      </c>
      <c r="AD5" s="5" t="s">
        <v>21</v>
      </c>
      <c r="AE5" s="5" t="s">
        <v>21</v>
      </c>
      <c r="AF5" s="5">
        <v>98</v>
      </c>
      <c r="AG5" s="5">
        <v>281</v>
      </c>
      <c r="AH5" s="5">
        <v>284</v>
      </c>
      <c r="AI5" s="5">
        <v>6</v>
      </c>
      <c r="AJ5" s="5">
        <v>121</v>
      </c>
      <c r="AK5" s="5" t="s">
        <v>83</v>
      </c>
      <c r="AL5" s="5" t="s">
        <v>84</v>
      </c>
      <c r="AM5" s="5" t="s">
        <v>85</v>
      </c>
      <c r="AN5" s="5" t="s">
        <v>86</v>
      </c>
      <c r="AO5" s="5" t="s">
        <v>21</v>
      </c>
      <c r="AP5" s="5" t="s">
        <v>21</v>
      </c>
      <c r="AQ5" s="5" t="s">
        <v>87</v>
      </c>
      <c r="AR5" s="5" t="s">
        <v>88</v>
      </c>
      <c r="AS5" s="5" t="s">
        <v>89</v>
      </c>
      <c r="AT5" s="5">
        <v>2002</v>
      </c>
      <c r="AU5" s="5">
        <v>46</v>
      </c>
      <c r="AV5" s="5" t="s">
        <v>21</v>
      </c>
      <c r="AW5" s="5">
        <v>5</v>
      </c>
      <c r="AX5" s="5" t="s">
        <v>21</v>
      </c>
      <c r="AY5" s="5" t="s">
        <v>21</v>
      </c>
      <c r="AZ5" s="5" t="s">
        <v>21</v>
      </c>
      <c r="BA5" s="5">
        <v>430</v>
      </c>
      <c r="BB5" s="5">
        <v>443</v>
      </c>
      <c r="BC5" s="5" t="s">
        <v>21</v>
      </c>
      <c r="BD5" s="5" t="s">
        <v>90</v>
      </c>
      <c r="BE5" s="5" t="str">
        <f>HYPERLINK("http://dx.doi.org/10.1046/j.1365-2788.2002.00425.x","http://dx.doi.org/10.1046/j.1365-2788.2002.00425.x")</f>
        <v>http://dx.doi.org/10.1046/j.1365-2788.2002.00425.x</v>
      </c>
      <c r="BF5" s="5" t="s">
        <v>21</v>
      </c>
      <c r="BG5" s="5" t="s">
        <v>21</v>
      </c>
      <c r="BH5" s="5">
        <v>14</v>
      </c>
      <c r="BI5" s="5" t="s">
        <v>91</v>
      </c>
      <c r="BJ5" s="5" t="s">
        <v>92</v>
      </c>
      <c r="BK5" s="5" t="s">
        <v>93</v>
      </c>
      <c r="BL5" s="5" t="s">
        <v>94</v>
      </c>
      <c r="BM5" s="5">
        <v>12031025</v>
      </c>
      <c r="BN5" s="5" t="s">
        <v>95</v>
      </c>
      <c r="BO5" s="5" t="s">
        <v>21</v>
      </c>
      <c r="BP5" s="5" t="s">
        <v>21</v>
      </c>
      <c r="BQ5" s="5" t="s">
        <v>49</v>
      </c>
      <c r="BR5" s="5" t="s">
        <v>96</v>
      </c>
      <c r="BS5" s="5" t="str">
        <f>HYPERLINK("https%3A%2F%2Fwww.webofscience.com%2Fwos%2Fwoscc%2Ffull-record%2FWOS:000175837800006","View Full Record in Web of Science")</f>
        <v>View Full Record in Web of Science</v>
      </c>
    </row>
    <row r="6" spans="1:73" x14ac:dyDescent="0.25">
      <c r="A6" t="s">
        <v>19</v>
      </c>
      <c r="B6" s="5" t="s">
        <v>97</v>
      </c>
      <c r="C6" s="5" t="s">
        <v>21</v>
      </c>
      <c r="D6" s="5" t="s">
        <v>21</v>
      </c>
      <c r="E6" s="5" t="s">
        <v>21</v>
      </c>
      <c r="F6" s="5" t="s">
        <v>98</v>
      </c>
      <c r="G6" s="5" t="s">
        <v>21</v>
      </c>
      <c r="H6" s="5" t="s">
        <v>21</v>
      </c>
      <c r="I6" s="5" t="s">
        <v>99</v>
      </c>
      <c r="J6" s="12" t="s">
        <v>100</v>
      </c>
      <c r="K6" s="5" t="s">
        <v>21</v>
      </c>
      <c r="L6" s="5" t="s">
        <v>21</v>
      </c>
      <c r="M6" s="5" t="s">
        <v>25</v>
      </c>
      <c r="N6" s="5" t="s">
        <v>26</v>
      </c>
      <c r="O6" s="5" t="s">
        <v>21</v>
      </c>
      <c r="P6" s="5" t="s">
        <v>21</v>
      </c>
      <c r="Q6" s="5" t="s">
        <v>21</v>
      </c>
      <c r="R6" s="5" t="s">
        <v>21</v>
      </c>
      <c r="S6" s="5" t="s">
        <v>21</v>
      </c>
      <c r="T6" s="5" t="s">
        <v>101</v>
      </c>
      <c r="U6" s="5" t="s">
        <v>102</v>
      </c>
      <c r="V6" s="5" t="s">
        <v>103</v>
      </c>
      <c r="W6" s="5" t="s">
        <v>104</v>
      </c>
      <c r="X6" s="5" t="s">
        <v>31</v>
      </c>
      <c r="Y6" s="5" t="s">
        <v>105</v>
      </c>
      <c r="Z6" s="5" t="s">
        <v>106</v>
      </c>
      <c r="AA6" s="5" t="s">
        <v>21</v>
      </c>
      <c r="AB6" s="5" t="s">
        <v>107</v>
      </c>
      <c r="AC6" s="5" t="s">
        <v>108</v>
      </c>
      <c r="AD6" s="5" t="s">
        <v>108</v>
      </c>
      <c r="AE6" s="5" t="s">
        <v>109</v>
      </c>
      <c r="AF6" s="5">
        <v>58</v>
      </c>
      <c r="AG6" s="5">
        <v>252</v>
      </c>
      <c r="AH6" s="5">
        <v>264</v>
      </c>
      <c r="AI6" s="5">
        <v>27</v>
      </c>
      <c r="AJ6" s="5">
        <v>216</v>
      </c>
      <c r="AK6" s="5" t="s">
        <v>110</v>
      </c>
      <c r="AL6" s="5" t="s">
        <v>84</v>
      </c>
      <c r="AM6" s="5" t="s">
        <v>111</v>
      </c>
      <c r="AN6" s="5" t="s">
        <v>112</v>
      </c>
      <c r="AO6" s="5" t="s">
        <v>113</v>
      </c>
      <c r="AP6" s="5" t="s">
        <v>21</v>
      </c>
      <c r="AQ6" s="5" t="s">
        <v>114</v>
      </c>
      <c r="AR6" s="5" t="s">
        <v>115</v>
      </c>
      <c r="AS6" s="5" t="s">
        <v>116</v>
      </c>
      <c r="AT6" s="5">
        <v>2016</v>
      </c>
      <c r="AU6" s="5">
        <v>62</v>
      </c>
      <c r="AV6" s="5" t="s">
        <v>21</v>
      </c>
      <c r="AW6" s="5" t="s">
        <v>21</v>
      </c>
      <c r="AX6" s="5" t="s">
        <v>21</v>
      </c>
      <c r="AY6" s="5" t="s">
        <v>21</v>
      </c>
      <c r="AZ6" s="5" t="s">
        <v>21</v>
      </c>
      <c r="BA6" s="5">
        <v>703</v>
      </c>
      <c r="BB6" s="5">
        <v>711</v>
      </c>
      <c r="BC6" s="5" t="s">
        <v>21</v>
      </c>
      <c r="BD6" s="5" t="s">
        <v>117</v>
      </c>
      <c r="BE6" s="5" t="str">
        <f>HYPERLINK("http://dx.doi.org/10.1016/j.chb.2016.04.033","http://dx.doi.org/10.1016/j.chb.2016.04.033")</f>
        <v>http://dx.doi.org/10.1016/j.chb.2016.04.033</v>
      </c>
      <c r="BF6" s="5" t="s">
        <v>21</v>
      </c>
      <c r="BG6" s="5" t="s">
        <v>21</v>
      </c>
      <c r="BH6" s="5">
        <v>9</v>
      </c>
      <c r="BI6" s="5" t="s">
        <v>118</v>
      </c>
      <c r="BJ6" s="5" t="s">
        <v>45</v>
      </c>
      <c r="BK6" s="5" t="s">
        <v>46</v>
      </c>
      <c r="BL6" s="5" t="s">
        <v>119</v>
      </c>
      <c r="BM6" s="5" t="s">
        <v>21</v>
      </c>
      <c r="BN6" s="5" t="s">
        <v>120</v>
      </c>
      <c r="BO6" s="5" t="s">
        <v>21</v>
      </c>
      <c r="BP6" s="5" t="s">
        <v>21</v>
      </c>
      <c r="BQ6" s="5" t="s">
        <v>49</v>
      </c>
      <c r="BR6" s="5" t="s">
        <v>121</v>
      </c>
      <c r="BS6" s="5" t="str">
        <f>HYPERLINK("https%3A%2F%2Fwww.webofscience.com%2Fwos%2Fwoscc%2Ffull-record%2FWOS:000378952300071","View Full Record in Web of Science")</f>
        <v>View Full Record in Web of Science</v>
      </c>
    </row>
    <row r="7" spans="1:73" x14ac:dyDescent="0.25">
      <c r="A7" t="s">
        <v>19</v>
      </c>
      <c r="B7" s="5" t="s">
        <v>122</v>
      </c>
      <c r="C7" s="5" t="s">
        <v>21</v>
      </c>
      <c r="D7" s="5" t="s">
        <v>21</v>
      </c>
      <c r="E7" s="5" t="s">
        <v>21</v>
      </c>
      <c r="F7" s="5" t="s">
        <v>123</v>
      </c>
      <c r="G7" s="5" t="s">
        <v>21</v>
      </c>
      <c r="H7" s="5" t="s">
        <v>21</v>
      </c>
      <c r="I7" s="5" t="s">
        <v>124</v>
      </c>
      <c r="J7" s="12" t="s">
        <v>24</v>
      </c>
      <c r="K7" s="5" t="s">
        <v>21</v>
      </c>
      <c r="L7" s="5" t="s">
        <v>21</v>
      </c>
      <c r="M7" s="5" t="s">
        <v>25</v>
      </c>
      <c r="N7" s="5" t="s">
        <v>26</v>
      </c>
      <c r="O7" s="5" t="s">
        <v>21</v>
      </c>
      <c r="P7" s="5" t="s">
        <v>21</v>
      </c>
      <c r="Q7" s="5" t="s">
        <v>21</v>
      </c>
      <c r="R7" s="5" t="s">
        <v>21</v>
      </c>
      <c r="S7" s="5" t="s">
        <v>21</v>
      </c>
      <c r="T7" s="5" t="s">
        <v>125</v>
      </c>
      <c r="U7" s="5" t="s">
        <v>126</v>
      </c>
      <c r="V7" s="5" t="s">
        <v>127</v>
      </c>
      <c r="W7" s="5" t="s">
        <v>128</v>
      </c>
      <c r="X7" s="5" t="s">
        <v>129</v>
      </c>
      <c r="Y7" s="5" t="s">
        <v>130</v>
      </c>
      <c r="Z7" s="5" t="s">
        <v>131</v>
      </c>
      <c r="AA7" s="5" t="s">
        <v>132</v>
      </c>
      <c r="AB7" s="5" t="s">
        <v>133</v>
      </c>
      <c r="AC7" s="5" t="s">
        <v>21</v>
      </c>
      <c r="AD7" s="5" t="s">
        <v>21</v>
      </c>
      <c r="AE7" s="5" t="s">
        <v>21</v>
      </c>
      <c r="AF7" s="5">
        <v>39</v>
      </c>
      <c r="AG7" s="5">
        <v>235</v>
      </c>
      <c r="AH7" s="5">
        <v>271</v>
      </c>
      <c r="AI7" s="5">
        <v>5</v>
      </c>
      <c r="AJ7" s="5">
        <v>105</v>
      </c>
      <c r="AK7" s="5" t="s">
        <v>35</v>
      </c>
      <c r="AL7" s="5" t="s">
        <v>36</v>
      </c>
      <c r="AM7" s="5" t="s">
        <v>37</v>
      </c>
      <c r="AN7" s="5" t="s">
        <v>38</v>
      </c>
      <c r="AO7" s="5" t="s">
        <v>39</v>
      </c>
      <c r="AP7" s="5" t="s">
        <v>21</v>
      </c>
      <c r="AQ7" s="5" t="s">
        <v>40</v>
      </c>
      <c r="AR7" s="5" t="s">
        <v>41</v>
      </c>
      <c r="AS7" s="5" t="s">
        <v>134</v>
      </c>
      <c r="AT7" s="5">
        <v>2014</v>
      </c>
      <c r="AU7" s="5">
        <v>44</v>
      </c>
      <c r="AV7" s="5">
        <v>10</v>
      </c>
      <c r="AW7" s="5" t="s">
        <v>21</v>
      </c>
      <c r="AX7" s="5" t="s">
        <v>21</v>
      </c>
      <c r="AY7" s="5" t="s">
        <v>21</v>
      </c>
      <c r="AZ7" s="5" t="s">
        <v>21</v>
      </c>
      <c r="BA7" s="5">
        <v>2450</v>
      </c>
      <c r="BB7" s="5">
        <v>2463</v>
      </c>
      <c r="BC7" s="5" t="s">
        <v>21</v>
      </c>
      <c r="BD7" s="5" t="s">
        <v>135</v>
      </c>
      <c r="BE7" s="5" t="str">
        <f>HYPERLINK("http://dx.doi.org/10.1007/s10803-014-2113-y","http://dx.doi.org/10.1007/s10803-014-2113-y")</f>
        <v>http://dx.doi.org/10.1007/s10803-014-2113-y</v>
      </c>
      <c r="BF7" s="5" t="s">
        <v>21</v>
      </c>
      <c r="BG7" s="5" t="s">
        <v>21</v>
      </c>
      <c r="BH7" s="5">
        <v>14</v>
      </c>
      <c r="BI7" s="5" t="s">
        <v>44</v>
      </c>
      <c r="BJ7" s="5" t="s">
        <v>45</v>
      </c>
      <c r="BK7" s="5" t="s">
        <v>46</v>
      </c>
      <c r="BL7" s="5" t="s">
        <v>136</v>
      </c>
      <c r="BM7" s="5">
        <v>24803366</v>
      </c>
      <c r="BN7" s="5" t="s">
        <v>137</v>
      </c>
      <c r="BO7" s="5" t="s">
        <v>21</v>
      </c>
      <c r="BP7" s="5" t="s">
        <v>21</v>
      </c>
      <c r="BQ7" s="5" t="s">
        <v>49</v>
      </c>
      <c r="BR7" s="5" t="s">
        <v>138</v>
      </c>
      <c r="BS7" s="5" t="str">
        <f>HYPERLINK("https%3A%2F%2Fwww.webofscience.com%2Fwos%2Fwoscc%2Ffull-record%2FWOS:000342211800008","View Full Record in Web of Science")</f>
        <v>View Full Record in Web of Science</v>
      </c>
    </row>
    <row r="8" spans="1:73" x14ac:dyDescent="0.25">
      <c r="A8" t="s">
        <v>19</v>
      </c>
      <c r="B8" s="5" t="s">
        <v>139</v>
      </c>
      <c r="C8" s="5" t="s">
        <v>21</v>
      </c>
      <c r="D8" s="5" t="s">
        <v>21</v>
      </c>
      <c r="E8" s="5" t="s">
        <v>21</v>
      </c>
      <c r="F8" s="5" t="s">
        <v>140</v>
      </c>
      <c r="G8" s="5" t="s">
        <v>21</v>
      </c>
      <c r="H8" s="5" t="s">
        <v>21</v>
      </c>
      <c r="I8" s="5" t="s">
        <v>141</v>
      </c>
      <c r="J8" s="12" t="s">
        <v>142</v>
      </c>
      <c r="K8" s="5" t="s">
        <v>21</v>
      </c>
      <c r="L8" s="5" t="s">
        <v>21</v>
      </c>
      <c r="M8" s="5" t="s">
        <v>25</v>
      </c>
      <c r="N8" s="5" t="s">
        <v>76</v>
      </c>
      <c r="O8" s="5" t="s">
        <v>21</v>
      </c>
      <c r="P8" s="5" t="s">
        <v>21</v>
      </c>
      <c r="Q8" s="5" t="s">
        <v>21</v>
      </c>
      <c r="R8" s="5" t="s">
        <v>21</v>
      </c>
      <c r="S8" s="5" t="s">
        <v>21</v>
      </c>
      <c r="T8" s="5" t="s">
        <v>143</v>
      </c>
      <c r="U8" s="5" t="s">
        <v>144</v>
      </c>
      <c r="V8" s="5" t="s">
        <v>145</v>
      </c>
      <c r="W8" s="5" t="s">
        <v>146</v>
      </c>
      <c r="X8" s="5" t="s">
        <v>147</v>
      </c>
      <c r="Y8" s="5" t="s">
        <v>148</v>
      </c>
      <c r="Z8" s="5" t="s">
        <v>149</v>
      </c>
      <c r="AA8" s="5" t="s">
        <v>21</v>
      </c>
      <c r="AB8" s="5" t="s">
        <v>21</v>
      </c>
      <c r="AC8" s="5" t="s">
        <v>150</v>
      </c>
      <c r="AD8" s="5" t="s">
        <v>151</v>
      </c>
      <c r="AE8" s="5" t="s">
        <v>152</v>
      </c>
      <c r="AF8" s="5">
        <v>82</v>
      </c>
      <c r="AG8" s="5">
        <v>225</v>
      </c>
      <c r="AH8" s="5">
        <v>243</v>
      </c>
      <c r="AI8" s="5">
        <v>29</v>
      </c>
      <c r="AJ8" s="5">
        <v>294</v>
      </c>
      <c r="AK8" s="5" t="s">
        <v>153</v>
      </c>
      <c r="AL8" s="5" t="s">
        <v>154</v>
      </c>
      <c r="AM8" s="5" t="s">
        <v>155</v>
      </c>
      <c r="AN8" s="5" t="s">
        <v>156</v>
      </c>
      <c r="AO8" s="5" t="s">
        <v>21</v>
      </c>
      <c r="AP8" s="5" t="s">
        <v>21</v>
      </c>
      <c r="AQ8" s="5" t="s">
        <v>157</v>
      </c>
      <c r="AR8" s="5" t="s">
        <v>158</v>
      </c>
      <c r="AS8" s="5" t="s">
        <v>159</v>
      </c>
      <c r="AT8" s="5">
        <v>2019</v>
      </c>
      <c r="AU8" s="5">
        <v>10</v>
      </c>
      <c r="AV8" s="5" t="s">
        <v>21</v>
      </c>
      <c r="AW8" s="5" t="s">
        <v>21</v>
      </c>
      <c r="AX8" s="5" t="s">
        <v>21</v>
      </c>
      <c r="AY8" s="5" t="s">
        <v>21</v>
      </c>
      <c r="AZ8" s="5" t="s">
        <v>21</v>
      </c>
      <c r="BA8" s="5" t="s">
        <v>21</v>
      </c>
      <c r="BB8" s="5" t="s">
        <v>21</v>
      </c>
      <c r="BC8" s="5">
        <v>505</v>
      </c>
      <c r="BD8" s="5" t="s">
        <v>160</v>
      </c>
      <c r="BE8" s="5" t="str">
        <f>HYPERLINK("http://dx.doi.org/10.3389/fpsyt.2019.00505","http://dx.doi.org/10.3389/fpsyt.2019.00505")</f>
        <v>http://dx.doi.org/10.3389/fpsyt.2019.00505</v>
      </c>
      <c r="BF8" s="5" t="s">
        <v>21</v>
      </c>
      <c r="BG8" s="5" t="s">
        <v>21</v>
      </c>
      <c r="BH8" s="5">
        <v>9</v>
      </c>
      <c r="BI8" s="5" t="s">
        <v>161</v>
      </c>
      <c r="BJ8" s="5" t="s">
        <v>92</v>
      </c>
      <c r="BK8" s="5" t="s">
        <v>161</v>
      </c>
      <c r="BL8" s="5" t="s">
        <v>162</v>
      </c>
      <c r="BM8" s="5">
        <v>31379623</v>
      </c>
      <c r="BN8" s="5" t="s">
        <v>163</v>
      </c>
      <c r="BO8" s="5" t="s">
        <v>21</v>
      </c>
      <c r="BP8" s="5" t="s">
        <v>21</v>
      </c>
      <c r="BQ8" s="5" t="s">
        <v>49</v>
      </c>
      <c r="BR8" s="5" t="s">
        <v>164</v>
      </c>
      <c r="BS8" s="5" t="str">
        <f>HYPERLINK("https%3A%2F%2Fwww.webofscience.com%2Fwos%2Fwoscc%2Ffull-record%2FWOS:000476866200001","View Full Record in Web of Science")</f>
        <v>View Full Record in Web of Science</v>
      </c>
    </row>
    <row r="9" spans="1:73" x14ac:dyDescent="0.25">
      <c r="A9" t="s">
        <v>19</v>
      </c>
      <c r="B9" s="5" t="s">
        <v>165</v>
      </c>
      <c r="C9" s="5" t="s">
        <v>21</v>
      </c>
      <c r="D9" s="5" t="s">
        <v>21</v>
      </c>
      <c r="E9" s="5" t="s">
        <v>21</v>
      </c>
      <c r="F9" s="5" t="s">
        <v>166</v>
      </c>
      <c r="G9" s="5" t="s">
        <v>21</v>
      </c>
      <c r="H9" s="5" t="s">
        <v>21</v>
      </c>
      <c r="I9" s="5" t="s">
        <v>167</v>
      </c>
      <c r="J9" s="12" t="s">
        <v>24</v>
      </c>
      <c r="K9" s="5" t="s">
        <v>21</v>
      </c>
      <c r="L9" s="5" t="s">
        <v>21</v>
      </c>
      <c r="M9" s="5" t="s">
        <v>25</v>
      </c>
      <c r="N9" s="5" t="s">
        <v>26</v>
      </c>
      <c r="O9" s="5" t="s">
        <v>21</v>
      </c>
      <c r="P9" s="5" t="s">
        <v>21</v>
      </c>
      <c r="Q9" s="5" t="s">
        <v>21</v>
      </c>
      <c r="R9" s="5" t="s">
        <v>21</v>
      </c>
      <c r="S9" s="5" t="s">
        <v>21</v>
      </c>
      <c r="T9" s="5" t="s">
        <v>168</v>
      </c>
      <c r="U9" s="5" t="s">
        <v>169</v>
      </c>
      <c r="V9" s="5" t="s">
        <v>170</v>
      </c>
      <c r="W9" s="5" t="s">
        <v>171</v>
      </c>
      <c r="X9" s="5" t="s">
        <v>172</v>
      </c>
      <c r="Y9" s="5" t="s">
        <v>173</v>
      </c>
      <c r="Z9" s="5" t="s">
        <v>174</v>
      </c>
      <c r="AA9" s="5" t="s">
        <v>21</v>
      </c>
      <c r="AB9" s="5" t="s">
        <v>175</v>
      </c>
      <c r="AC9" s="5" t="s">
        <v>21</v>
      </c>
      <c r="AD9" s="5" t="s">
        <v>21</v>
      </c>
      <c r="AE9" s="5" t="s">
        <v>21</v>
      </c>
      <c r="AF9" s="5">
        <v>36</v>
      </c>
      <c r="AG9" s="5">
        <v>209</v>
      </c>
      <c r="AH9" s="5">
        <v>258</v>
      </c>
      <c r="AI9" s="5">
        <v>6</v>
      </c>
      <c r="AJ9" s="5">
        <v>58</v>
      </c>
      <c r="AK9" s="5" t="s">
        <v>35</v>
      </c>
      <c r="AL9" s="5" t="s">
        <v>36</v>
      </c>
      <c r="AM9" s="5" t="s">
        <v>37</v>
      </c>
      <c r="AN9" s="5" t="s">
        <v>38</v>
      </c>
      <c r="AO9" s="5" t="s">
        <v>21</v>
      </c>
      <c r="AP9" s="5" t="s">
        <v>21</v>
      </c>
      <c r="AQ9" s="5" t="s">
        <v>40</v>
      </c>
      <c r="AR9" s="5" t="s">
        <v>41</v>
      </c>
      <c r="AS9" s="5" t="s">
        <v>176</v>
      </c>
      <c r="AT9" s="5">
        <v>2007</v>
      </c>
      <c r="AU9" s="5">
        <v>37</v>
      </c>
      <c r="AV9" s="5">
        <v>3</v>
      </c>
      <c r="AW9" s="5" t="s">
        <v>21</v>
      </c>
      <c r="AX9" s="5" t="s">
        <v>21</v>
      </c>
      <c r="AY9" s="5" t="s">
        <v>21</v>
      </c>
      <c r="AZ9" s="5" t="s">
        <v>21</v>
      </c>
      <c r="BA9" s="5">
        <v>589</v>
      </c>
      <c r="BB9" s="5">
        <v>600</v>
      </c>
      <c r="BC9" s="5" t="s">
        <v>21</v>
      </c>
      <c r="BD9" s="5" t="s">
        <v>177</v>
      </c>
      <c r="BE9" s="5" t="str">
        <f>HYPERLINK("http://dx.doi.org/10.1007/s10803-006-0189-8","http://dx.doi.org/10.1007/s10803-006-0189-8")</f>
        <v>http://dx.doi.org/10.1007/s10803-006-0189-8</v>
      </c>
      <c r="BF9" s="5" t="s">
        <v>21</v>
      </c>
      <c r="BG9" s="5" t="s">
        <v>21</v>
      </c>
      <c r="BH9" s="5">
        <v>12</v>
      </c>
      <c r="BI9" s="5" t="s">
        <v>44</v>
      </c>
      <c r="BJ9" s="5" t="s">
        <v>45</v>
      </c>
      <c r="BK9" s="5" t="s">
        <v>46</v>
      </c>
      <c r="BL9" s="5" t="s">
        <v>178</v>
      </c>
      <c r="BM9" s="5">
        <v>16900403</v>
      </c>
      <c r="BN9" s="5" t="s">
        <v>21</v>
      </c>
      <c r="BO9" s="5" t="s">
        <v>21</v>
      </c>
      <c r="BP9" s="5" t="s">
        <v>21</v>
      </c>
      <c r="BQ9" s="5" t="s">
        <v>49</v>
      </c>
      <c r="BR9" s="5" t="s">
        <v>179</v>
      </c>
      <c r="BS9" s="5" t="str">
        <f>HYPERLINK("https%3A%2F%2Fwww.webofscience.com%2Fwos%2Fwoscc%2Ffull-record%2FWOS:000244689500018","View Full Record in Web of Science")</f>
        <v>View Full Record in Web of Science</v>
      </c>
    </row>
    <row r="10" spans="1:73" x14ac:dyDescent="0.25">
      <c r="A10" t="s">
        <v>19</v>
      </c>
      <c r="B10" s="5" t="s">
        <v>180</v>
      </c>
      <c r="C10" s="5" t="s">
        <v>21</v>
      </c>
      <c r="D10" s="5" t="s">
        <v>21</v>
      </c>
      <c r="E10" s="5" t="s">
        <v>21</v>
      </c>
      <c r="F10" s="5" t="s">
        <v>181</v>
      </c>
      <c r="G10" s="5" t="s">
        <v>21</v>
      </c>
      <c r="H10" s="5" t="s">
        <v>21</v>
      </c>
      <c r="I10" s="5" t="s">
        <v>182</v>
      </c>
      <c r="J10" s="12" t="s">
        <v>183</v>
      </c>
      <c r="K10" s="5" t="s">
        <v>21</v>
      </c>
      <c r="L10" s="5" t="s">
        <v>21</v>
      </c>
      <c r="M10" s="5" t="s">
        <v>25</v>
      </c>
      <c r="N10" s="5" t="s">
        <v>76</v>
      </c>
      <c r="O10" s="5" t="s">
        <v>21</v>
      </c>
      <c r="P10" s="5" t="s">
        <v>21</v>
      </c>
      <c r="Q10" s="5" t="s">
        <v>21</v>
      </c>
      <c r="R10" s="5" t="s">
        <v>21</v>
      </c>
      <c r="S10" s="5" t="s">
        <v>21</v>
      </c>
      <c r="T10" s="5" t="s">
        <v>184</v>
      </c>
      <c r="U10" s="5" t="s">
        <v>185</v>
      </c>
      <c r="V10" s="5" t="s">
        <v>186</v>
      </c>
      <c r="W10" s="5" t="s">
        <v>187</v>
      </c>
      <c r="X10" s="5" t="s">
        <v>188</v>
      </c>
      <c r="Y10" s="5" t="s">
        <v>189</v>
      </c>
      <c r="Z10" s="5" t="s">
        <v>190</v>
      </c>
      <c r="AA10" s="5" t="s">
        <v>191</v>
      </c>
      <c r="AB10" s="5" t="s">
        <v>192</v>
      </c>
      <c r="AC10" s="5" t="s">
        <v>21</v>
      </c>
      <c r="AD10" s="5" t="s">
        <v>21</v>
      </c>
      <c r="AE10" s="5" t="s">
        <v>21</v>
      </c>
      <c r="AF10" s="5">
        <v>54</v>
      </c>
      <c r="AG10" s="5">
        <v>207</v>
      </c>
      <c r="AH10" s="5">
        <v>224</v>
      </c>
      <c r="AI10" s="5">
        <v>18</v>
      </c>
      <c r="AJ10" s="5">
        <v>160</v>
      </c>
      <c r="AK10" s="5" t="s">
        <v>193</v>
      </c>
      <c r="AL10" s="5" t="s">
        <v>194</v>
      </c>
      <c r="AM10" s="5" t="s">
        <v>195</v>
      </c>
      <c r="AN10" s="5" t="s">
        <v>21</v>
      </c>
      <c r="AO10" s="5" t="s">
        <v>196</v>
      </c>
      <c r="AP10" s="5" t="s">
        <v>21</v>
      </c>
      <c r="AQ10" s="5" t="s">
        <v>197</v>
      </c>
      <c r="AR10" s="5" t="s">
        <v>198</v>
      </c>
      <c r="AS10" s="5" t="s">
        <v>199</v>
      </c>
      <c r="AT10" s="5">
        <v>2018</v>
      </c>
      <c r="AU10" s="5">
        <v>18</v>
      </c>
      <c r="AV10" s="5">
        <v>8</v>
      </c>
      <c r="AW10" s="5" t="s">
        <v>21</v>
      </c>
      <c r="AX10" s="5" t="s">
        <v>21</v>
      </c>
      <c r="AY10" s="5" t="s">
        <v>21</v>
      </c>
      <c r="AZ10" s="5" t="s">
        <v>21</v>
      </c>
      <c r="BA10" s="5" t="s">
        <v>21</v>
      </c>
      <c r="BB10" s="5" t="s">
        <v>21</v>
      </c>
      <c r="BC10" s="5">
        <v>2486</v>
      </c>
      <c r="BD10" s="5" t="s">
        <v>200</v>
      </c>
      <c r="BE10" s="5" t="str">
        <f>HYPERLINK("http://dx.doi.org/10.3390/s18082486","http://dx.doi.org/10.3390/s18082486")</f>
        <v>http://dx.doi.org/10.3390/s18082486</v>
      </c>
      <c r="BF10" s="5" t="s">
        <v>21</v>
      </c>
      <c r="BG10" s="5" t="s">
        <v>21</v>
      </c>
      <c r="BH10" s="5">
        <v>15</v>
      </c>
      <c r="BI10" s="5" t="s">
        <v>201</v>
      </c>
      <c r="BJ10" s="5" t="s">
        <v>92</v>
      </c>
      <c r="BK10" s="5" t="s">
        <v>202</v>
      </c>
      <c r="BL10" s="5" t="s">
        <v>203</v>
      </c>
      <c r="BM10" s="5">
        <v>30071588</v>
      </c>
      <c r="BN10" s="5" t="s">
        <v>204</v>
      </c>
      <c r="BO10" s="5" t="s">
        <v>21</v>
      </c>
      <c r="BP10" s="5" t="s">
        <v>21</v>
      </c>
      <c r="BQ10" s="5" t="s">
        <v>49</v>
      </c>
      <c r="BR10" s="5" t="s">
        <v>205</v>
      </c>
      <c r="BS10" s="5" t="str">
        <f>HYPERLINK("https%3A%2F%2Fwww.webofscience.com%2Fwos%2Fwoscc%2Ffull-record%2FWOS:000445712400086","View Full Record in Web of Science")</f>
        <v>View Full Record in Web of Science</v>
      </c>
    </row>
    <row r="11" spans="1:73" x14ac:dyDescent="0.25">
      <c r="A11" t="s">
        <v>19</v>
      </c>
      <c r="B11" s="5" t="s">
        <v>206</v>
      </c>
      <c r="C11" s="5" t="s">
        <v>21</v>
      </c>
      <c r="D11" s="5" t="s">
        <v>21</v>
      </c>
      <c r="E11" s="5" t="s">
        <v>21</v>
      </c>
      <c r="F11" s="5" t="s">
        <v>206</v>
      </c>
      <c r="G11" s="5" t="s">
        <v>21</v>
      </c>
      <c r="H11" s="5" t="s">
        <v>21</v>
      </c>
      <c r="I11" s="5" t="s">
        <v>207</v>
      </c>
      <c r="J11" s="12" t="s">
        <v>24</v>
      </c>
      <c r="K11" s="5" t="s">
        <v>21</v>
      </c>
      <c r="L11" s="5" t="s">
        <v>21</v>
      </c>
      <c r="M11" s="5" t="s">
        <v>25</v>
      </c>
      <c r="N11" s="5" t="s">
        <v>26</v>
      </c>
      <c r="O11" s="5" t="s">
        <v>21</v>
      </c>
      <c r="P11" s="5" t="s">
        <v>21</v>
      </c>
      <c r="Q11" s="5" t="s">
        <v>21</v>
      </c>
      <c r="R11" s="5" t="s">
        <v>21</v>
      </c>
      <c r="S11" s="5" t="s">
        <v>21</v>
      </c>
      <c r="T11" s="5" t="s">
        <v>208</v>
      </c>
      <c r="U11" s="5" t="s">
        <v>209</v>
      </c>
      <c r="V11" s="5" t="s">
        <v>210</v>
      </c>
      <c r="W11" s="5" t="s">
        <v>80</v>
      </c>
      <c r="X11" s="5" t="s">
        <v>81</v>
      </c>
      <c r="Y11" s="5" t="s">
        <v>211</v>
      </c>
      <c r="Z11" s="5" t="s">
        <v>212</v>
      </c>
      <c r="AA11" s="5" t="s">
        <v>21</v>
      </c>
      <c r="AB11" s="5" t="s">
        <v>175</v>
      </c>
      <c r="AC11" s="5" t="s">
        <v>21</v>
      </c>
      <c r="AD11" s="5" t="s">
        <v>21</v>
      </c>
      <c r="AE11" s="5" t="s">
        <v>21</v>
      </c>
      <c r="AF11" s="5">
        <v>45</v>
      </c>
      <c r="AG11" s="5">
        <v>174</v>
      </c>
      <c r="AH11" s="5">
        <v>203</v>
      </c>
      <c r="AI11" s="5">
        <v>2</v>
      </c>
      <c r="AJ11" s="5">
        <v>51</v>
      </c>
      <c r="AK11" s="5" t="s">
        <v>35</v>
      </c>
      <c r="AL11" s="5" t="s">
        <v>36</v>
      </c>
      <c r="AM11" s="5" t="s">
        <v>37</v>
      </c>
      <c r="AN11" s="5" t="s">
        <v>38</v>
      </c>
      <c r="AO11" s="5" t="s">
        <v>39</v>
      </c>
      <c r="AP11" s="5" t="s">
        <v>21</v>
      </c>
      <c r="AQ11" s="5" t="s">
        <v>40</v>
      </c>
      <c r="AR11" s="5" t="s">
        <v>41</v>
      </c>
      <c r="AS11" s="5" t="s">
        <v>199</v>
      </c>
      <c r="AT11" s="5">
        <v>2004</v>
      </c>
      <c r="AU11" s="5">
        <v>34</v>
      </c>
      <c r="AV11" s="5">
        <v>4</v>
      </c>
      <c r="AW11" s="5" t="s">
        <v>21</v>
      </c>
      <c r="AX11" s="5" t="s">
        <v>21</v>
      </c>
      <c r="AY11" s="5" t="s">
        <v>21</v>
      </c>
      <c r="AZ11" s="5" t="s">
        <v>21</v>
      </c>
      <c r="BA11" s="5">
        <v>449</v>
      </c>
      <c r="BB11" s="5">
        <v>466</v>
      </c>
      <c r="BC11" s="5" t="s">
        <v>21</v>
      </c>
      <c r="BD11" s="5" t="s">
        <v>213</v>
      </c>
      <c r="BE11" s="5" t="str">
        <f>HYPERLINK("http://dx.doi.org/10.1023/B:JADD.0000037421.98517.8d","http://dx.doi.org/10.1023/B:JADD.0000037421.98517.8d")</f>
        <v>http://dx.doi.org/10.1023/B:JADD.0000037421.98517.8d</v>
      </c>
      <c r="BF11" s="5" t="s">
        <v>21</v>
      </c>
      <c r="BG11" s="5" t="s">
        <v>21</v>
      </c>
      <c r="BH11" s="5">
        <v>18</v>
      </c>
      <c r="BI11" s="5" t="s">
        <v>44</v>
      </c>
      <c r="BJ11" s="5" t="s">
        <v>45</v>
      </c>
      <c r="BK11" s="5" t="s">
        <v>46</v>
      </c>
      <c r="BL11" s="5" t="s">
        <v>214</v>
      </c>
      <c r="BM11" s="5">
        <v>15449520</v>
      </c>
      <c r="BN11" s="5" t="s">
        <v>21</v>
      </c>
      <c r="BO11" s="5" t="s">
        <v>21</v>
      </c>
      <c r="BP11" s="5" t="s">
        <v>21</v>
      </c>
      <c r="BQ11" s="5" t="s">
        <v>49</v>
      </c>
      <c r="BR11" s="5" t="s">
        <v>215</v>
      </c>
      <c r="BS11" s="5" t="str">
        <f>HYPERLINK("https%3A%2F%2Fwww.webofscience.com%2Fwos%2Fwoscc%2Ffull-record%2FWOS:000223205500008","View Full Record in Web of Science")</f>
        <v>View Full Record in Web of Science</v>
      </c>
    </row>
    <row r="12" spans="1:73" x14ac:dyDescent="0.25">
      <c r="A12" t="s">
        <v>19</v>
      </c>
      <c r="B12" s="5" t="s">
        <v>216</v>
      </c>
      <c r="C12" s="5" t="s">
        <v>21</v>
      </c>
      <c r="D12" s="5" t="s">
        <v>21</v>
      </c>
      <c r="E12" s="5" t="s">
        <v>21</v>
      </c>
      <c r="F12" s="5" t="s">
        <v>217</v>
      </c>
      <c r="G12" s="5" t="s">
        <v>21</v>
      </c>
      <c r="H12" s="5" t="s">
        <v>21</v>
      </c>
      <c r="I12" s="5" t="s">
        <v>218</v>
      </c>
      <c r="J12" s="12" t="s">
        <v>24</v>
      </c>
      <c r="K12" s="5" t="s">
        <v>21</v>
      </c>
      <c r="L12" s="5" t="s">
        <v>21</v>
      </c>
      <c r="M12" s="5" t="s">
        <v>25</v>
      </c>
      <c r="N12" s="5" t="s">
        <v>26</v>
      </c>
      <c r="O12" s="5" t="s">
        <v>21</v>
      </c>
      <c r="P12" s="5" t="s">
        <v>21</v>
      </c>
      <c r="Q12" s="5" t="s">
        <v>21</v>
      </c>
      <c r="R12" s="5" t="s">
        <v>21</v>
      </c>
      <c r="S12" s="5" t="s">
        <v>21</v>
      </c>
      <c r="T12" s="5" t="s">
        <v>219</v>
      </c>
      <c r="U12" s="5" t="s">
        <v>220</v>
      </c>
      <c r="V12" s="5" t="s">
        <v>221</v>
      </c>
      <c r="W12" s="5" t="s">
        <v>222</v>
      </c>
      <c r="X12" s="5" t="s">
        <v>223</v>
      </c>
      <c r="Y12" s="5" t="s">
        <v>224</v>
      </c>
      <c r="Z12" s="5" t="s">
        <v>225</v>
      </c>
      <c r="AA12" s="5" t="s">
        <v>21</v>
      </c>
      <c r="AB12" s="5" t="s">
        <v>21</v>
      </c>
      <c r="AC12" s="5" t="s">
        <v>21</v>
      </c>
      <c r="AD12" s="5" t="s">
        <v>21</v>
      </c>
      <c r="AE12" s="5" t="s">
        <v>21</v>
      </c>
      <c r="AF12" s="5">
        <v>43</v>
      </c>
      <c r="AG12" s="5">
        <v>166</v>
      </c>
      <c r="AH12" s="5">
        <v>214</v>
      </c>
      <c r="AI12" s="5">
        <v>8</v>
      </c>
      <c r="AJ12" s="5">
        <v>89</v>
      </c>
      <c r="AK12" s="5" t="s">
        <v>35</v>
      </c>
      <c r="AL12" s="5" t="s">
        <v>36</v>
      </c>
      <c r="AM12" s="5" t="s">
        <v>37</v>
      </c>
      <c r="AN12" s="5" t="s">
        <v>38</v>
      </c>
      <c r="AO12" s="5" t="s">
        <v>39</v>
      </c>
      <c r="AP12" s="5" t="s">
        <v>21</v>
      </c>
      <c r="AQ12" s="5" t="s">
        <v>40</v>
      </c>
      <c r="AR12" s="5" t="s">
        <v>41</v>
      </c>
      <c r="AS12" s="5" t="s">
        <v>134</v>
      </c>
      <c r="AT12" s="5">
        <v>2013</v>
      </c>
      <c r="AU12" s="5">
        <v>43</v>
      </c>
      <c r="AV12" s="5">
        <v>10</v>
      </c>
      <c r="AW12" s="5" t="s">
        <v>21</v>
      </c>
      <c r="AX12" s="5" t="s">
        <v>21</v>
      </c>
      <c r="AY12" s="5" t="s">
        <v>21</v>
      </c>
      <c r="AZ12" s="5" t="s">
        <v>21</v>
      </c>
      <c r="BA12" s="5">
        <v>2472</v>
      </c>
      <c r="BB12" s="5">
        <v>2483</v>
      </c>
      <c r="BC12" s="5" t="s">
        <v>21</v>
      </c>
      <c r="BD12" s="5" t="s">
        <v>226</v>
      </c>
      <c r="BE12" s="5" t="str">
        <f>HYPERLINK("http://dx.doi.org/10.1007/s10803-013-1800-4","http://dx.doi.org/10.1007/s10803-013-1800-4")</f>
        <v>http://dx.doi.org/10.1007/s10803-013-1800-4</v>
      </c>
      <c r="BF12" s="5" t="s">
        <v>21</v>
      </c>
      <c r="BG12" s="5" t="s">
        <v>21</v>
      </c>
      <c r="BH12" s="5">
        <v>12</v>
      </c>
      <c r="BI12" s="5" t="s">
        <v>44</v>
      </c>
      <c r="BJ12" s="5" t="s">
        <v>45</v>
      </c>
      <c r="BK12" s="5" t="s">
        <v>46</v>
      </c>
      <c r="BL12" s="5" t="s">
        <v>227</v>
      </c>
      <c r="BM12" s="5">
        <v>23494559</v>
      </c>
      <c r="BN12" s="5" t="s">
        <v>137</v>
      </c>
      <c r="BO12" s="5" t="s">
        <v>21</v>
      </c>
      <c r="BP12" s="5" t="s">
        <v>21</v>
      </c>
      <c r="BQ12" s="5" t="s">
        <v>49</v>
      </c>
      <c r="BR12" s="5" t="s">
        <v>228</v>
      </c>
      <c r="BS12" s="5" t="str">
        <f>HYPERLINK("https%3A%2F%2Fwww.webofscience.com%2Fwos%2Fwoscc%2Ffull-record%2FWOS:000324341500022","View Full Record in Web of Science")</f>
        <v>View Full Record in Web of Science</v>
      </c>
    </row>
    <row r="13" spans="1:73" x14ac:dyDescent="0.25">
      <c r="A13" t="s">
        <v>229</v>
      </c>
      <c r="B13" s="5" t="s">
        <v>230</v>
      </c>
      <c r="C13" s="5" t="s">
        <v>21</v>
      </c>
      <c r="D13" s="5" t="s">
        <v>231</v>
      </c>
      <c r="E13" s="5" t="s">
        <v>21</v>
      </c>
      <c r="F13" s="5" t="s">
        <v>232</v>
      </c>
      <c r="G13" s="5" t="s">
        <v>21</v>
      </c>
      <c r="H13" s="5" t="s">
        <v>21</v>
      </c>
      <c r="I13" s="5" t="s">
        <v>233</v>
      </c>
      <c r="J13" s="12" t="s">
        <v>234</v>
      </c>
      <c r="K13" s="5" t="s">
        <v>235</v>
      </c>
      <c r="L13" s="5" t="s">
        <v>21</v>
      </c>
      <c r="M13" s="5" t="s">
        <v>25</v>
      </c>
      <c r="N13" s="5" t="s">
        <v>236</v>
      </c>
      <c r="O13" s="5" t="s">
        <v>237</v>
      </c>
      <c r="P13" s="5" t="s">
        <v>238</v>
      </c>
      <c r="Q13" s="5" t="s">
        <v>239</v>
      </c>
      <c r="R13" s="5" t="s">
        <v>21</v>
      </c>
      <c r="S13" s="5" t="s">
        <v>240</v>
      </c>
      <c r="T13" s="5" t="s">
        <v>241</v>
      </c>
      <c r="U13" s="5" t="s">
        <v>242</v>
      </c>
      <c r="V13" s="5" t="s">
        <v>243</v>
      </c>
      <c r="W13" s="5" t="s">
        <v>244</v>
      </c>
      <c r="X13" s="5" t="s">
        <v>245</v>
      </c>
      <c r="Y13" s="5" t="s">
        <v>246</v>
      </c>
      <c r="Z13" s="5" t="s">
        <v>247</v>
      </c>
      <c r="AA13" s="5" t="s">
        <v>248</v>
      </c>
      <c r="AB13" s="5" t="s">
        <v>21</v>
      </c>
      <c r="AC13" s="5" t="s">
        <v>249</v>
      </c>
      <c r="AD13" s="5" t="s">
        <v>250</v>
      </c>
      <c r="AE13" s="5" t="s">
        <v>21</v>
      </c>
      <c r="AF13" s="5">
        <v>72</v>
      </c>
      <c r="AG13" s="5">
        <v>160</v>
      </c>
      <c r="AH13" s="5">
        <v>186</v>
      </c>
      <c r="AI13" s="5">
        <v>1</v>
      </c>
      <c r="AJ13" s="5">
        <v>50</v>
      </c>
      <c r="AK13" s="5" t="s">
        <v>251</v>
      </c>
      <c r="AL13" s="5" t="s">
        <v>252</v>
      </c>
      <c r="AM13" s="5" t="s">
        <v>253</v>
      </c>
      <c r="AN13" s="5" t="s">
        <v>254</v>
      </c>
      <c r="AO13" s="5" t="s">
        <v>21</v>
      </c>
      <c r="AP13" s="5" t="s">
        <v>255</v>
      </c>
      <c r="AQ13" s="5" t="s">
        <v>256</v>
      </c>
      <c r="AR13" s="5" t="s">
        <v>257</v>
      </c>
      <c r="AS13" s="5" t="s">
        <v>21</v>
      </c>
      <c r="AT13" s="5">
        <v>2008</v>
      </c>
      <c r="AU13" s="5">
        <v>1145</v>
      </c>
      <c r="AV13" s="5" t="s">
        <v>21</v>
      </c>
      <c r="AW13" s="5" t="s">
        <v>21</v>
      </c>
      <c r="AX13" s="5" t="s">
        <v>21</v>
      </c>
      <c r="AY13" s="5" t="s">
        <v>21</v>
      </c>
      <c r="AZ13" s="5" t="s">
        <v>21</v>
      </c>
      <c r="BA13" s="5">
        <v>283</v>
      </c>
      <c r="BB13" s="5">
        <v>299</v>
      </c>
      <c r="BC13" s="5" t="s">
        <v>21</v>
      </c>
      <c r="BD13" s="5" t="s">
        <v>258</v>
      </c>
      <c r="BE13" s="5" t="str">
        <f>HYPERLINK("http://dx.doi.org/10.1196/annals.1416.007","http://dx.doi.org/10.1196/annals.1416.007")</f>
        <v>http://dx.doi.org/10.1196/annals.1416.007</v>
      </c>
      <c r="BF13" s="5" t="s">
        <v>21</v>
      </c>
      <c r="BG13" s="5" t="s">
        <v>21</v>
      </c>
      <c r="BH13" s="5">
        <v>17</v>
      </c>
      <c r="BI13" s="5" t="s">
        <v>259</v>
      </c>
      <c r="BJ13" s="5" t="s">
        <v>260</v>
      </c>
      <c r="BK13" s="5" t="s">
        <v>261</v>
      </c>
      <c r="BL13" s="5" t="s">
        <v>262</v>
      </c>
      <c r="BM13" s="5">
        <v>19076404</v>
      </c>
      <c r="BN13" s="5" t="s">
        <v>137</v>
      </c>
      <c r="BO13" s="5" t="s">
        <v>21</v>
      </c>
      <c r="BP13" s="5" t="s">
        <v>21</v>
      </c>
      <c r="BQ13" s="5" t="s">
        <v>49</v>
      </c>
      <c r="BR13" s="5" t="s">
        <v>263</v>
      </c>
      <c r="BS13" s="5" t="str">
        <f>HYPERLINK("https%3A%2F%2Fwww.webofscience.com%2Fwos%2Fwoscc%2Ffull-record%2FWOS:000262097100020","View Full Record in Web of Science")</f>
        <v>View Full Record in Web of Science</v>
      </c>
    </row>
    <row r="14" spans="1:73" x14ac:dyDescent="0.25">
      <c r="A14" t="s">
        <v>19</v>
      </c>
      <c r="B14" s="5" t="s">
        <v>264</v>
      </c>
      <c r="C14" s="5" t="s">
        <v>21</v>
      </c>
      <c r="D14" s="5" t="s">
        <v>21</v>
      </c>
      <c r="E14" s="5" t="s">
        <v>21</v>
      </c>
      <c r="F14" s="5" t="s">
        <v>264</v>
      </c>
      <c r="G14" s="5" t="s">
        <v>21</v>
      </c>
      <c r="H14" s="5" t="s">
        <v>21</v>
      </c>
      <c r="I14" s="5" t="s">
        <v>265</v>
      </c>
      <c r="J14" s="12" t="s">
        <v>24</v>
      </c>
      <c r="K14" s="5" t="s">
        <v>21</v>
      </c>
      <c r="L14" s="5" t="s">
        <v>21</v>
      </c>
      <c r="M14" s="5" t="s">
        <v>25</v>
      </c>
      <c r="N14" s="5" t="s">
        <v>26</v>
      </c>
      <c r="O14" s="5" t="s">
        <v>21</v>
      </c>
      <c r="P14" s="5" t="s">
        <v>21</v>
      </c>
      <c r="Q14" s="5" t="s">
        <v>21</v>
      </c>
      <c r="R14" s="5" t="s">
        <v>21</v>
      </c>
      <c r="S14" s="5" t="s">
        <v>21</v>
      </c>
      <c r="T14" s="5" t="s">
        <v>21</v>
      </c>
      <c r="U14" s="5" t="s">
        <v>21</v>
      </c>
      <c r="V14" s="5" t="s">
        <v>21</v>
      </c>
      <c r="W14" s="5" t="s">
        <v>266</v>
      </c>
      <c r="X14" s="5" t="s">
        <v>267</v>
      </c>
      <c r="Y14" s="5" t="s">
        <v>268</v>
      </c>
      <c r="Z14" s="5" t="s">
        <v>21</v>
      </c>
      <c r="AA14" s="5" t="s">
        <v>21</v>
      </c>
      <c r="AB14" s="5" t="s">
        <v>21</v>
      </c>
      <c r="AC14" s="5" t="s">
        <v>21</v>
      </c>
      <c r="AD14" s="5" t="s">
        <v>21</v>
      </c>
      <c r="AE14" s="5" t="s">
        <v>21</v>
      </c>
      <c r="AF14" s="5">
        <v>17</v>
      </c>
      <c r="AG14" s="5">
        <v>158</v>
      </c>
      <c r="AH14" s="5">
        <v>177</v>
      </c>
      <c r="AI14" s="5">
        <v>1</v>
      </c>
      <c r="AJ14" s="5">
        <v>23</v>
      </c>
      <c r="AK14" s="5" t="s">
        <v>35</v>
      </c>
      <c r="AL14" s="5" t="s">
        <v>36</v>
      </c>
      <c r="AM14" s="5" t="s">
        <v>37</v>
      </c>
      <c r="AN14" s="5" t="s">
        <v>38</v>
      </c>
      <c r="AO14" s="5" t="s">
        <v>21</v>
      </c>
      <c r="AP14" s="5" t="s">
        <v>21</v>
      </c>
      <c r="AQ14" s="5" t="s">
        <v>40</v>
      </c>
      <c r="AR14" s="5" t="s">
        <v>41</v>
      </c>
      <c r="AS14" s="5" t="s">
        <v>269</v>
      </c>
      <c r="AT14" s="5">
        <v>1996</v>
      </c>
      <c r="AU14" s="5">
        <v>26</v>
      </c>
      <c r="AV14" s="5">
        <v>6</v>
      </c>
      <c r="AW14" s="5" t="s">
        <v>21</v>
      </c>
      <c r="AX14" s="5" t="s">
        <v>21</v>
      </c>
      <c r="AY14" s="5" t="s">
        <v>21</v>
      </c>
      <c r="AZ14" s="5" t="s">
        <v>21</v>
      </c>
      <c r="BA14" s="5">
        <v>651</v>
      </c>
      <c r="BB14" s="5">
        <v>659</v>
      </c>
      <c r="BC14" s="5" t="s">
        <v>21</v>
      </c>
      <c r="BD14" s="5" t="s">
        <v>270</v>
      </c>
      <c r="BE14" s="5" t="str">
        <f>HYPERLINK("http://dx.doi.org/10.1007/BF02172354","http://dx.doi.org/10.1007/BF02172354")</f>
        <v>http://dx.doi.org/10.1007/BF02172354</v>
      </c>
      <c r="BF14" s="5" t="s">
        <v>21</v>
      </c>
      <c r="BG14" s="5" t="s">
        <v>21</v>
      </c>
      <c r="BH14" s="5">
        <v>9</v>
      </c>
      <c r="BI14" s="5" t="s">
        <v>44</v>
      </c>
      <c r="BJ14" s="5" t="s">
        <v>45</v>
      </c>
      <c r="BK14" s="5" t="s">
        <v>46</v>
      </c>
      <c r="BL14" s="5" t="s">
        <v>271</v>
      </c>
      <c r="BM14" s="5">
        <v>8986851</v>
      </c>
      <c r="BN14" s="5" t="s">
        <v>21</v>
      </c>
      <c r="BO14" s="5" t="s">
        <v>21</v>
      </c>
      <c r="BP14" s="5" t="s">
        <v>21</v>
      </c>
      <c r="BQ14" s="5" t="s">
        <v>49</v>
      </c>
      <c r="BR14" s="5" t="s">
        <v>272</v>
      </c>
      <c r="BS14" s="5" t="str">
        <f>HYPERLINK("https%3A%2F%2Fwww.webofscience.com%2Fwos%2Fwoscc%2Ffull-record%2FWOS:A1996VY26100008","View Full Record in Web of Science")</f>
        <v>View Full Record in Web of Science</v>
      </c>
    </row>
    <row r="15" spans="1:73" x14ac:dyDescent="0.25">
      <c r="A15" t="s">
        <v>19</v>
      </c>
      <c r="B15" s="5" t="s">
        <v>273</v>
      </c>
      <c r="C15" s="5" t="s">
        <v>21</v>
      </c>
      <c r="D15" s="5" t="s">
        <v>21</v>
      </c>
      <c r="E15" s="5" t="s">
        <v>21</v>
      </c>
      <c r="F15" s="5" t="s">
        <v>274</v>
      </c>
      <c r="G15" s="5" t="s">
        <v>21</v>
      </c>
      <c r="H15" s="5" t="s">
        <v>21</v>
      </c>
      <c r="I15" s="5" t="s">
        <v>275</v>
      </c>
      <c r="J15" s="12" t="s">
        <v>276</v>
      </c>
      <c r="K15" s="5" t="s">
        <v>21</v>
      </c>
      <c r="L15" s="5" t="s">
        <v>21</v>
      </c>
      <c r="M15" s="5" t="s">
        <v>25</v>
      </c>
      <c r="N15" s="5" t="s">
        <v>26</v>
      </c>
      <c r="O15" s="5" t="s">
        <v>21</v>
      </c>
      <c r="P15" s="5" t="s">
        <v>21</v>
      </c>
      <c r="Q15" s="5" t="s">
        <v>21</v>
      </c>
      <c r="R15" s="5" t="s">
        <v>21</v>
      </c>
      <c r="S15" s="5" t="s">
        <v>21</v>
      </c>
      <c r="T15" s="5" t="s">
        <v>277</v>
      </c>
      <c r="U15" s="5" t="s">
        <v>278</v>
      </c>
      <c r="V15" s="5" t="s">
        <v>279</v>
      </c>
      <c r="W15" s="5" t="s">
        <v>280</v>
      </c>
      <c r="X15" s="5" t="s">
        <v>281</v>
      </c>
      <c r="Y15" s="5" t="s">
        <v>282</v>
      </c>
      <c r="Z15" s="5" t="s">
        <v>283</v>
      </c>
      <c r="AA15" s="5" t="s">
        <v>284</v>
      </c>
      <c r="AB15" s="5" t="s">
        <v>285</v>
      </c>
      <c r="AC15" s="5" t="s">
        <v>21</v>
      </c>
      <c r="AD15" s="5" t="s">
        <v>21</v>
      </c>
      <c r="AE15" s="5" t="s">
        <v>21</v>
      </c>
      <c r="AF15" s="5">
        <v>44</v>
      </c>
      <c r="AG15" s="5">
        <v>155</v>
      </c>
      <c r="AH15" s="5">
        <v>169</v>
      </c>
      <c r="AI15" s="5">
        <v>27</v>
      </c>
      <c r="AJ15" s="5">
        <v>213</v>
      </c>
      <c r="AK15" s="5" t="s">
        <v>110</v>
      </c>
      <c r="AL15" s="5" t="s">
        <v>84</v>
      </c>
      <c r="AM15" s="5" t="s">
        <v>111</v>
      </c>
      <c r="AN15" s="5" t="s">
        <v>286</v>
      </c>
      <c r="AO15" s="5" t="s">
        <v>287</v>
      </c>
      <c r="AP15" s="5" t="s">
        <v>21</v>
      </c>
      <c r="AQ15" s="5" t="s">
        <v>288</v>
      </c>
      <c r="AR15" s="5" t="s">
        <v>289</v>
      </c>
      <c r="AS15" s="5" t="s">
        <v>290</v>
      </c>
      <c r="AT15" s="5">
        <v>2016</v>
      </c>
      <c r="AU15" s="5">
        <v>98</v>
      </c>
      <c r="AV15" s="5" t="s">
        <v>21</v>
      </c>
      <c r="AW15" s="5" t="s">
        <v>21</v>
      </c>
      <c r="AX15" s="5" t="s">
        <v>21</v>
      </c>
      <c r="AY15" s="5" t="s">
        <v>21</v>
      </c>
      <c r="AZ15" s="5" t="s">
        <v>21</v>
      </c>
      <c r="BA15" s="5">
        <v>192</v>
      </c>
      <c r="BB15" s="5">
        <v>205</v>
      </c>
      <c r="BC15" s="5" t="s">
        <v>21</v>
      </c>
      <c r="BD15" s="5" t="s">
        <v>291</v>
      </c>
      <c r="BE15" s="5" t="str">
        <f>HYPERLINK("http://dx.doi.org/10.1016/j.compedu.2016.03.018","http://dx.doi.org/10.1016/j.compedu.2016.03.018")</f>
        <v>http://dx.doi.org/10.1016/j.compedu.2016.03.018</v>
      </c>
      <c r="BF15" s="5" t="s">
        <v>21</v>
      </c>
      <c r="BG15" s="5" t="s">
        <v>21</v>
      </c>
      <c r="BH15" s="5">
        <v>14</v>
      </c>
      <c r="BI15" s="5" t="s">
        <v>292</v>
      </c>
      <c r="BJ15" s="5" t="s">
        <v>92</v>
      </c>
      <c r="BK15" s="5" t="s">
        <v>293</v>
      </c>
      <c r="BL15" s="5" t="s">
        <v>294</v>
      </c>
      <c r="BM15" s="5" t="s">
        <v>21</v>
      </c>
      <c r="BN15" s="5" t="s">
        <v>137</v>
      </c>
      <c r="BO15" s="5" t="s">
        <v>21</v>
      </c>
      <c r="BP15" s="5" t="s">
        <v>21</v>
      </c>
      <c r="BQ15" s="5" t="s">
        <v>49</v>
      </c>
      <c r="BR15" s="5" t="s">
        <v>295</v>
      </c>
      <c r="BS15" s="5" t="str">
        <f>HYPERLINK("https%3A%2F%2Fwww.webofscience.com%2Fwos%2Fwoscc%2Ffull-record%2FWOS:000376212900015","View Full Record in Web of Science")</f>
        <v>View Full Record in Web of Science</v>
      </c>
    </row>
    <row r="16" spans="1:73" x14ac:dyDescent="0.25">
      <c r="A16" t="s">
        <v>19</v>
      </c>
      <c r="B16" s="5" t="s">
        <v>296</v>
      </c>
      <c r="C16" s="5" t="s">
        <v>21</v>
      </c>
      <c r="D16" s="5" t="s">
        <v>21</v>
      </c>
      <c r="E16" s="5" t="s">
        <v>21</v>
      </c>
      <c r="F16" s="5" t="s">
        <v>297</v>
      </c>
      <c r="G16" s="5" t="s">
        <v>21</v>
      </c>
      <c r="H16" s="5" t="s">
        <v>21</v>
      </c>
      <c r="I16" s="5" t="s">
        <v>298</v>
      </c>
      <c r="J16" s="12" t="s">
        <v>299</v>
      </c>
      <c r="K16" s="5" t="s">
        <v>21</v>
      </c>
      <c r="L16" s="5" t="s">
        <v>21</v>
      </c>
      <c r="M16" s="5" t="s">
        <v>25</v>
      </c>
      <c r="N16" s="5" t="s">
        <v>26</v>
      </c>
      <c r="O16" s="5" t="s">
        <v>21</v>
      </c>
      <c r="P16" s="5" t="s">
        <v>21</v>
      </c>
      <c r="Q16" s="5" t="s">
        <v>21</v>
      </c>
      <c r="R16" s="5" t="s">
        <v>21</v>
      </c>
      <c r="S16" s="5" t="s">
        <v>21</v>
      </c>
      <c r="T16" s="5" t="s">
        <v>300</v>
      </c>
      <c r="U16" s="5" t="s">
        <v>301</v>
      </c>
      <c r="V16" s="5" t="s">
        <v>302</v>
      </c>
      <c r="W16" s="5" t="s">
        <v>303</v>
      </c>
      <c r="X16" s="5" t="s">
        <v>304</v>
      </c>
      <c r="Y16" s="5" t="s">
        <v>305</v>
      </c>
      <c r="Z16" s="5" t="s">
        <v>306</v>
      </c>
      <c r="AA16" s="5" t="s">
        <v>307</v>
      </c>
      <c r="AB16" s="5" t="s">
        <v>308</v>
      </c>
      <c r="AC16" s="5" t="s">
        <v>21</v>
      </c>
      <c r="AD16" s="5" t="s">
        <v>21</v>
      </c>
      <c r="AE16" s="5" t="s">
        <v>21</v>
      </c>
      <c r="AF16" s="5">
        <v>16</v>
      </c>
      <c r="AG16" s="5">
        <v>154</v>
      </c>
      <c r="AH16" s="5">
        <v>175</v>
      </c>
      <c r="AI16" s="5">
        <v>6</v>
      </c>
      <c r="AJ16" s="5">
        <v>71</v>
      </c>
      <c r="AK16" s="5" t="s">
        <v>309</v>
      </c>
      <c r="AL16" s="5" t="s">
        <v>310</v>
      </c>
      <c r="AM16" s="5" t="s">
        <v>311</v>
      </c>
      <c r="AN16" s="5" t="s">
        <v>312</v>
      </c>
      <c r="AO16" s="5" t="s">
        <v>313</v>
      </c>
      <c r="AP16" s="5" t="s">
        <v>21</v>
      </c>
      <c r="AQ16" s="5" t="s">
        <v>314</v>
      </c>
      <c r="AR16" s="5" t="s">
        <v>315</v>
      </c>
      <c r="AS16" s="5" t="s">
        <v>116</v>
      </c>
      <c r="AT16" s="5">
        <v>2011</v>
      </c>
      <c r="AU16" s="5">
        <v>20</v>
      </c>
      <c r="AV16" s="5">
        <v>3</v>
      </c>
      <c r="AW16" s="5" t="s">
        <v>21</v>
      </c>
      <c r="AX16" s="5" t="s">
        <v>21</v>
      </c>
      <c r="AY16" s="5" t="s">
        <v>21</v>
      </c>
      <c r="AZ16" s="5" t="s">
        <v>21</v>
      </c>
      <c r="BA16" s="5">
        <v>235</v>
      </c>
      <c r="BB16" s="5">
        <v>238</v>
      </c>
      <c r="BC16" s="5" t="s">
        <v>21</v>
      </c>
      <c r="BD16" s="5" t="s">
        <v>316</v>
      </c>
      <c r="BE16" s="5" t="str">
        <f>HYPERLINK("http://dx.doi.org/10.1017/S2045796011000448","http://dx.doi.org/10.1017/S2045796011000448")</f>
        <v>http://dx.doi.org/10.1017/S2045796011000448</v>
      </c>
      <c r="BF16" s="5" t="s">
        <v>21</v>
      </c>
      <c r="BG16" s="5" t="s">
        <v>21</v>
      </c>
      <c r="BH16" s="5">
        <v>4</v>
      </c>
      <c r="BI16" s="5" t="s">
        <v>161</v>
      </c>
      <c r="BJ16" s="5" t="s">
        <v>45</v>
      </c>
      <c r="BK16" s="5" t="s">
        <v>161</v>
      </c>
      <c r="BL16" s="5" t="s">
        <v>317</v>
      </c>
      <c r="BM16" s="5">
        <v>21922965</v>
      </c>
      <c r="BN16" s="5" t="s">
        <v>95</v>
      </c>
      <c r="BO16" s="5" t="s">
        <v>21</v>
      </c>
      <c r="BP16" s="5" t="s">
        <v>21</v>
      </c>
      <c r="BQ16" s="5" t="s">
        <v>49</v>
      </c>
      <c r="BR16" s="5" t="s">
        <v>318</v>
      </c>
      <c r="BS16" s="5" t="str">
        <f>HYPERLINK("https%3A%2F%2Fwww.webofscience.com%2Fwos%2Fwoscc%2Ffull-record%2FWOS:000298052600006","View Full Record in Web of Science")</f>
        <v>View Full Record in Web of Science</v>
      </c>
    </row>
    <row r="17" spans="1:71" x14ac:dyDescent="0.25">
      <c r="A17" t="s">
        <v>19</v>
      </c>
      <c r="B17" s="5" t="s">
        <v>319</v>
      </c>
      <c r="C17" s="5" t="s">
        <v>21</v>
      </c>
      <c r="D17" s="5" t="s">
        <v>21</v>
      </c>
      <c r="E17" s="5" t="s">
        <v>21</v>
      </c>
      <c r="F17" s="5" t="s">
        <v>320</v>
      </c>
      <c r="G17" s="5" t="s">
        <v>21</v>
      </c>
      <c r="H17" s="5" t="s">
        <v>21</v>
      </c>
      <c r="I17" s="5" t="s">
        <v>321</v>
      </c>
      <c r="J17" s="12" t="s">
        <v>276</v>
      </c>
      <c r="K17" s="5" t="s">
        <v>21</v>
      </c>
      <c r="L17" s="5" t="s">
        <v>21</v>
      </c>
      <c r="M17" s="5" t="s">
        <v>25</v>
      </c>
      <c r="N17" s="5" t="s">
        <v>26</v>
      </c>
      <c r="O17" s="5" t="s">
        <v>21</v>
      </c>
      <c r="P17" s="5" t="s">
        <v>21</v>
      </c>
      <c r="Q17" s="5" t="s">
        <v>21</v>
      </c>
      <c r="R17" s="5" t="s">
        <v>21</v>
      </c>
      <c r="S17" s="5" t="s">
        <v>21</v>
      </c>
      <c r="T17" s="5" t="s">
        <v>322</v>
      </c>
      <c r="U17" s="5" t="s">
        <v>323</v>
      </c>
      <c r="V17" s="5" t="s">
        <v>324</v>
      </c>
      <c r="W17" s="5" t="s">
        <v>325</v>
      </c>
      <c r="X17" s="5" t="s">
        <v>326</v>
      </c>
      <c r="Y17" s="5" t="s">
        <v>327</v>
      </c>
      <c r="Z17" s="5" t="s">
        <v>328</v>
      </c>
      <c r="AA17" s="5" t="s">
        <v>329</v>
      </c>
      <c r="AB17" s="5" t="s">
        <v>330</v>
      </c>
      <c r="AC17" s="5" t="s">
        <v>331</v>
      </c>
      <c r="AD17" s="5" t="s">
        <v>332</v>
      </c>
      <c r="AE17" s="5" t="s">
        <v>333</v>
      </c>
      <c r="AF17" s="5">
        <v>43</v>
      </c>
      <c r="AG17" s="5">
        <v>152</v>
      </c>
      <c r="AH17" s="5">
        <v>173</v>
      </c>
      <c r="AI17" s="5">
        <v>41</v>
      </c>
      <c r="AJ17" s="5">
        <v>302</v>
      </c>
      <c r="AK17" s="5" t="s">
        <v>110</v>
      </c>
      <c r="AL17" s="5" t="s">
        <v>84</v>
      </c>
      <c r="AM17" s="5" t="s">
        <v>111</v>
      </c>
      <c r="AN17" s="5" t="s">
        <v>286</v>
      </c>
      <c r="AO17" s="5" t="s">
        <v>287</v>
      </c>
      <c r="AP17" s="5" t="s">
        <v>21</v>
      </c>
      <c r="AQ17" s="5" t="s">
        <v>288</v>
      </c>
      <c r="AR17" s="5" t="s">
        <v>289</v>
      </c>
      <c r="AS17" s="5" t="s">
        <v>334</v>
      </c>
      <c r="AT17" s="5">
        <v>2018</v>
      </c>
      <c r="AU17" s="5">
        <v>117</v>
      </c>
      <c r="AV17" s="5" t="s">
        <v>21</v>
      </c>
      <c r="AW17" s="5" t="s">
        <v>21</v>
      </c>
      <c r="AX17" s="5" t="s">
        <v>21</v>
      </c>
      <c r="AY17" s="5" t="s">
        <v>21</v>
      </c>
      <c r="AZ17" s="5" t="s">
        <v>21</v>
      </c>
      <c r="BA17" s="5">
        <v>1</v>
      </c>
      <c r="BB17" s="5">
        <v>15</v>
      </c>
      <c r="BC17" s="5" t="s">
        <v>21</v>
      </c>
      <c r="BD17" s="5" t="s">
        <v>335</v>
      </c>
      <c r="BE17" s="5" t="str">
        <f>HYPERLINK("http://dx.doi.org/10.1016/j.compedu.2017.09.010","http://dx.doi.org/10.1016/j.compedu.2017.09.010")</f>
        <v>http://dx.doi.org/10.1016/j.compedu.2017.09.010</v>
      </c>
      <c r="BF17" s="5" t="s">
        <v>21</v>
      </c>
      <c r="BG17" s="5" t="s">
        <v>21</v>
      </c>
      <c r="BH17" s="5">
        <v>15</v>
      </c>
      <c r="BI17" s="5" t="s">
        <v>292</v>
      </c>
      <c r="BJ17" s="5" t="s">
        <v>92</v>
      </c>
      <c r="BK17" s="5" t="s">
        <v>293</v>
      </c>
      <c r="BL17" s="5" t="s">
        <v>336</v>
      </c>
      <c r="BM17" s="5" t="s">
        <v>21</v>
      </c>
      <c r="BN17" s="5" t="s">
        <v>21</v>
      </c>
      <c r="BO17" s="5" t="s">
        <v>21</v>
      </c>
      <c r="BP17" s="5" t="s">
        <v>21</v>
      </c>
      <c r="BQ17" s="5" t="s">
        <v>49</v>
      </c>
      <c r="BR17" s="5" t="s">
        <v>337</v>
      </c>
      <c r="BS17" s="5" t="str">
        <f>HYPERLINK("https%3A%2F%2Fwww.webofscience.com%2Fwos%2Fwoscc%2Ffull-record%2FWOS:000418968600001","View Full Record in Web of Science")</f>
        <v>View Full Record in Web of Science</v>
      </c>
    </row>
    <row r="18" spans="1:71" x14ac:dyDescent="0.25">
      <c r="A18" t="s">
        <v>19</v>
      </c>
      <c r="B18" s="5" t="s">
        <v>338</v>
      </c>
      <c r="C18" s="5" t="s">
        <v>21</v>
      </c>
      <c r="D18" s="5" t="s">
        <v>21</v>
      </c>
      <c r="E18" s="5" t="s">
        <v>21</v>
      </c>
      <c r="F18" s="5" t="s">
        <v>338</v>
      </c>
      <c r="G18" s="5" t="s">
        <v>21</v>
      </c>
      <c r="H18" s="5" t="s">
        <v>21</v>
      </c>
      <c r="I18" s="5" t="s">
        <v>339</v>
      </c>
      <c r="J18" s="12" t="s">
        <v>340</v>
      </c>
      <c r="K18" s="5" t="s">
        <v>21</v>
      </c>
      <c r="L18" s="5" t="s">
        <v>21</v>
      </c>
      <c r="M18" s="5" t="s">
        <v>25</v>
      </c>
      <c r="N18" s="5" t="s">
        <v>76</v>
      </c>
      <c r="O18" s="5" t="s">
        <v>21</v>
      </c>
      <c r="P18" s="5" t="s">
        <v>21</v>
      </c>
      <c r="Q18" s="5" t="s">
        <v>21</v>
      </c>
      <c r="R18" s="5" t="s">
        <v>21</v>
      </c>
      <c r="S18" s="5" t="s">
        <v>21</v>
      </c>
      <c r="T18" s="5" t="s">
        <v>21</v>
      </c>
      <c r="U18" s="5" t="s">
        <v>341</v>
      </c>
      <c r="V18" s="5" t="s">
        <v>342</v>
      </c>
      <c r="W18" s="5" t="s">
        <v>343</v>
      </c>
      <c r="X18" s="5" t="s">
        <v>344</v>
      </c>
      <c r="Y18" s="5" t="s">
        <v>345</v>
      </c>
      <c r="Z18" s="5" t="s">
        <v>346</v>
      </c>
      <c r="AA18" s="5" t="s">
        <v>347</v>
      </c>
      <c r="AB18" s="5" t="s">
        <v>348</v>
      </c>
      <c r="AC18" s="5" t="s">
        <v>21</v>
      </c>
      <c r="AD18" s="5" t="s">
        <v>21</v>
      </c>
      <c r="AE18" s="5" t="s">
        <v>21</v>
      </c>
      <c r="AF18" s="5">
        <v>56</v>
      </c>
      <c r="AG18" s="5">
        <v>148</v>
      </c>
      <c r="AH18" s="5">
        <v>177</v>
      </c>
      <c r="AI18" s="5">
        <v>2</v>
      </c>
      <c r="AJ18" s="5">
        <v>85</v>
      </c>
      <c r="AK18" s="5" t="s">
        <v>349</v>
      </c>
      <c r="AL18" s="5" t="s">
        <v>350</v>
      </c>
      <c r="AM18" s="5" t="s">
        <v>351</v>
      </c>
      <c r="AN18" s="5" t="s">
        <v>352</v>
      </c>
      <c r="AO18" s="5" t="s">
        <v>21</v>
      </c>
      <c r="AP18" s="5" t="s">
        <v>21</v>
      </c>
      <c r="AQ18" s="5" t="s">
        <v>353</v>
      </c>
      <c r="AR18" s="5" t="s">
        <v>354</v>
      </c>
      <c r="AS18" s="5" t="s">
        <v>89</v>
      </c>
      <c r="AT18" s="5">
        <v>2005</v>
      </c>
      <c r="AU18" s="5">
        <v>8</v>
      </c>
      <c r="AV18" s="5">
        <v>3</v>
      </c>
      <c r="AW18" s="5" t="s">
        <v>21</v>
      </c>
      <c r="AX18" s="5" t="s">
        <v>21</v>
      </c>
      <c r="AY18" s="5" t="s">
        <v>21</v>
      </c>
      <c r="AZ18" s="5" t="s">
        <v>21</v>
      </c>
      <c r="BA18" s="5">
        <v>272</v>
      </c>
      <c r="BB18" s="5">
        <v>282</v>
      </c>
      <c r="BC18" s="5" t="s">
        <v>21</v>
      </c>
      <c r="BD18" s="5" t="s">
        <v>355</v>
      </c>
      <c r="BE18" s="5" t="str">
        <f>HYPERLINK("http://dx.doi.org/10.1089/cpb.2005.8.272","http://dx.doi.org/10.1089/cpb.2005.8.272")</f>
        <v>http://dx.doi.org/10.1089/cpb.2005.8.272</v>
      </c>
      <c r="BF18" s="5" t="s">
        <v>21</v>
      </c>
      <c r="BG18" s="5" t="s">
        <v>21</v>
      </c>
      <c r="BH18" s="5">
        <v>11</v>
      </c>
      <c r="BI18" s="5" t="s">
        <v>356</v>
      </c>
      <c r="BJ18" s="5" t="s">
        <v>45</v>
      </c>
      <c r="BK18" s="5" t="s">
        <v>357</v>
      </c>
      <c r="BL18" s="5" t="s">
        <v>358</v>
      </c>
      <c r="BM18" s="5">
        <v>15971976</v>
      </c>
      <c r="BN18" s="5" t="s">
        <v>21</v>
      </c>
      <c r="BO18" s="5" t="s">
        <v>21</v>
      </c>
      <c r="BP18" s="5" t="s">
        <v>21</v>
      </c>
      <c r="BQ18" s="5" t="s">
        <v>49</v>
      </c>
      <c r="BR18" s="5" t="s">
        <v>359</v>
      </c>
      <c r="BS18" s="5" t="str">
        <f>HYPERLINK("https%3A%2F%2Fwww.webofscience.com%2Fwos%2Fwoscc%2Ffull-record%2FWOS:000229961400022","View Full Record in Web of Science")</f>
        <v>View Full Record in Web of Science</v>
      </c>
    </row>
    <row r="19" spans="1:71" x14ac:dyDescent="0.25">
      <c r="A19" t="s">
        <v>229</v>
      </c>
      <c r="B19" s="5" t="s">
        <v>360</v>
      </c>
      <c r="C19" s="5" t="s">
        <v>21</v>
      </c>
      <c r="D19" s="5" t="s">
        <v>361</v>
      </c>
      <c r="E19" s="5" t="s">
        <v>21</v>
      </c>
      <c r="F19" s="5" t="s">
        <v>362</v>
      </c>
      <c r="G19" s="5" t="s">
        <v>21</v>
      </c>
      <c r="H19" s="5" t="s">
        <v>21</v>
      </c>
      <c r="I19" s="5" t="s">
        <v>363</v>
      </c>
      <c r="J19" s="12" t="s">
        <v>364</v>
      </c>
      <c r="K19" s="5" t="s">
        <v>365</v>
      </c>
      <c r="L19" s="5" t="s">
        <v>21</v>
      </c>
      <c r="M19" s="5" t="s">
        <v>25</v>
      </c>
      <c r="N19" s="5" t="s">
        <v>366</v>
      </c>
      <c r="O19" s="5" t="s">
        <v>21</v>
      </c>
      <c r="P19" s="5" t="s">
        <v>21</v>
      </c>
      <c r="Q19" s="5" t="s">
        <v>21</v>
      </c>
      <c r="R19" s="5" t="s">
        <v>21</v>
      </c>
      <c r="S19" s="5" t="s">
        <v>21</v>
      </c>
      <c r="T19" s="5" t="s">
        <v>367</v>
      </c>
      <c r="U19" s="5" t="s">
        <v>368</v>
      </c>
      <c r="V19" s="5" t="s">
        <v>369</v>
      </c>
      <c r="W19" s="5" t="s">
        <v>370</v>
      </c>
      <c r="X19" s="5" t="s">
        <v>371</v>
      </c>
      <c r="Y19" s="5" t="s">
        <v>372</v>
      </c>
      <c r="Z19" s="5" t="s">
        <v>373</v>
      </c>
      <c r="AA19" s="5" t="s">
        <v>374</v>
      </c>
      <c r="AB19" s="5" t="s">
        <v>21</v>
      </c>
      <c r="AC19" s="5" t="s">
        <v>21</v>
      </c>
      <c r="AD19" s="5" t="s">
        <v>21</v>
      </c>
      <c r="AE19" s="5" t="s">
        <v>21</v>
      </c>
      <c r="AF19" s="5">
        <v>130</v>
      </c>
      <c r="AG19" s="5">
        <v>145</v>
      </c>
      <c r="AH19" s="5">
        <v>154</v>
      </c>
      <c r="AI19" s="5">
        <v>97</v>
      </c>
      <c r="AJ19" s="5">
        <v>482</v>
      </c>
      <c r="AK19" s="5" t="s">
        <v>375</v>
      </c>
      <c r="AL19" s="5" t="s">
        <v>376</v>
      </c>
      <c r="AM19" s="5" t="s">
        <v>377</v>
      </c>
      <c r="AN19" s="5" t="s">
        <v>378</v>
      </c>
      <c r="AO19" s="5" t="s">
        <v>21</v>
      </c>
      <c r="AP19" s="5" t="s">
        <v>21</v>
      </c>
      <c r="AQ19" s="5" t="s">
        <v>379</v>
      </c>
      <c r="AR19" s="5" t="s">
        <v>380</v>
      </c>
      <c r="AS19" s="5" t="s">
        <v>21</v>
      </c>
      <c r="AT19" s="5">
        <v>2021</v>
      </c>
      <c r="AU19" s="5">
        <v>17</v>
      </c>
      <c r="AV19" s="5" t="s">
        <v>21</v>
      </c>
      <c r="AW19" s="5" t="s">
        <v>21</v>
      </c>
      <c r="AX19" s="5" t="s">
        <v>21</v>
      </c>
      <c r="AY19" s="5" t="s">
        <v>21</v>
      </c>
      <c r="AZ19" s="5" t="s">
        <v>21</v>
      </c>
      <c r="BA19" s="5">
        <v>495</v>
      </c>
      <c r="BB19" s="5">
        <v>519</v>
      </c>
      <c r="BC19" s="5" t="s">
        <v>21</v>
      </c>
      <c r="BD19" s="5" t="s">
        <v>381</v>
      </c>
      <c r="BE19" s="5" t="str">
        <f>HYPERLINK("http://dx.doi.org/10.1146/annurev-clinpsy-081219-115923","http://dx.doi.org/10.1146/annurev-clinpsy-081219-115923")</f>
        <v>http://dx.doi.org/10.1146/annurev-clinpsy-081219-115923</v>
      </c>
      <c r="BF19" s="5" t="s">
        <v>21</v>
      </c>
      <c r="BG19" s="5" t="s">
        <v>21</v>
      </c>
      <c r="BH19" s="5">
        <v>25</v>
      </c>
      <c r="BI19" s="5" t="s">
        <v>382</v>
      </c>
      <c r="BJ19" s="5" t="s">
        <v>383</v>
      </c>
      <c r="BK19" s="5" t="s">
        <v>46</v>
      </c>
      <c r="BL19" s="5" t="s">
        <v>384</v>
      </c>
      <c r="BM19" s="5">
        <v>33606946</v>
      </c>
      <c r="BN19" s="5" t="s">
        <v>385</v>
      </c>
      <c r="BO19" s="5" t="s">
        <v>21</v>
      </c>
      <c r="BP19" s="5" t="s">
        <v>21</v>
      </c>
      <c r="BQ19" s="5" t="s">
        <v>49</v>
      </c>
      <c r="BR19" s="5" t="s">
        <v>386</v>
      </c>
      <c r="BS19" s="5" t="str">
        <f>HYPERLINK("https%3A%2F%2Fwww.webofscience.com%2Fwos%2Fwoscc%2Ffull-record%2FWOS:000652495100020","View Full Record in Web of Science")</f>
        <v>View Full Record in Web of Science</v>
      </c>
    </row>
    <row r="20" spans="1:71" x14ac:dyDescent="0.25">
      <c r="A20" t="s">
        <v>19</v>
      </c>
      <c r="B20" s="5" t="s">
        <v>387</v>
      </c>
      <c r="C20" s="5" t="s">
        <v>21</v>
      </c>
      <c r="D20" s="5" t="s">
        <v>21</v>
      </c>
      <c r="E20" s="5" t="s">
        <v>21</v>
      </c>
      <c r="F20" s="5" t="s">
        <v>388</v>
      </c>
      <c r="G20" s="5" t="s">
        <v>21</v>
      </c>
      <c r="H20" s="5" t="s">
        <v>21</v>
      </c>
      <c r="I20" s="5" t="s">
        <v>389</v>
      </c>
      <c r="J20" s="12" t="s">
        <v>390</v>
      </c>
      <c r="K20" s="5" t="s">
        <v>21</v>
      </c>
      <c r="L20" s="5" t="s">
        <v>21</v>
      </c>
      <c r="M20" s="5" t="s">
        <v>25</v>
      </c>
      <c r="N20" s="5" t="s">
        <v>76</v>
      </c>
      <c r="O20" s="5" t="s">
        <v>21</v>
      </c>
      <c r="P20" s="5" t="s">
        <v>21</v>
      </c>
      <c r="Q20" s="5" t="s">
        <v>21</v>
      </c>
      <c r="R20" s="5" t="s">
        <v>21</v>
      </c>
      <c r="S20" s="5" t="s">
        <v>21</v>
      </c>
      <c r="T20" s="5" t="s">
        <v>391</v>
      </c>
      <c r="U20" s="5" t="s">
        <v>392</v>
      </c>
      <c r="V20" s="5" t="s">
        <v>393</v>
      </c>
      <c r="W20" s="5" t="s">
        <v>394</v>
      </c>
      <c r="X20" s="5" t="s">
        <v>395</v>
      </c>
      <c r="Y20" s="5" t="s">
        <v>396</v>
      </c>
      <c r="Z20" s="5" t="s">
        <v>397</v>
      </c>
      <c r="AA20" s="5" t="s">
        <v>398</v>
      </c>
      <c r="AB20" s="5" t="s">
        <v>399</v>
      </c>
      <c r="AC20" s="5" t="s">
        <v>400</v>
      </c>
      <c r="AD20" s="5" t="s">
        <v>400</v>
      </c>
      <c r="AE20" s="5" t="s">
        <v>401</v>
      </c>
      <c r="AF20" s="5">
        <v>113</v>
      </c>
      <c r="AG20" s="5">
        <v>145</v>
      </c>
      <c r="AH20" s="5">
        <v>167</v>
      </c>
      <c r="AI20" s="5">
        <v>2</v>
      </c>
      <c r="AJ20" s="5">
        <v>114</v>
      </c>
      <c r="AK20" s="5" t="s">
        <v>193</v>
      </c>
      <c r="AL20" s="5" t="s">
        <v>194</v>
      </c>
      <c r="AM20" s="5" t="s">
        <v>195</v>
      </c>
      <c r="AN20" s="5" t="s">
        <v>21</v>
      </c>
      <c r="AO20" s="5" t="s">
        <v>402</v>
      </c>
      <c r="AP20" s="5" t="s">
        <v>21</v>
      </c>
      <c r="AQ20" s="5" t="s">
        <v>403</v>
      </c>
      <c r="AR20" s="5" t="s">
        <v>404</v>
      </c>
      <c r="AS20" s="5" t="s">
        <v>199</v>
      </c>
      <c r="AT20" s="5">
        <v>2014</v>
      </c>
      <c r="AU20" s="5">
        <v>11</v>
      </c>
      <c r="AV20" s="5">
        <v>8</v>
      </c>
      <c r="AW20" s="5" t="s">
        <v>21</v>
      </c>
      <c r="AX20" s="5" t="s">
        <v>21</v>
      </c>
      <c r="AY20" s="5" t="s">
        <v>21</v>
      </c>
      <c r="AZ20" s="5" t="s">
        <v>21</v>
      </c>
      <c r="BA20" s="5">
        <v>7767</v>
      </c>
      <c r="BB20" s="5">
        <v>7802</v>
      </c>
      <c r="BC20" s="5" t="s">
        <v>21</v>
      </c>
      <c r="BD20" s="5" t="s">
        <v>405</v>
      </c>
      <c r="BE20" s="5" t="str">
        <f>HYPERLINK("http://dx.doi.org/10.3390/ijerph110807767","http://dx.doi.org/10.3390/ijerph110807767")</f>
        <v>http://dx.doi.org/10.3390/ijerph110807767</v>
      </c>
      <c r="BF20" s="5" t="s">
        <v>21</v>
      </c>
      <c r="BG20" s="5" t="s">
        <v>21</v>
      </c>
      <c r="BH20" s="5">
        <v>36</v>
      </c>
      <c r="BI20" s="5" t="s">
        <v>406</v>
      </c>
      <c r="BJ20" s="5" t="s">
        <v>92</v>
      </c>
      <c r="BK20" s="5" t="s">
        <v>407</v>
      </c>
      <c r="BL20" s="5" t="s">
        <v>408</v>
      </c>
      <c r="BM20" s="5">
        <v>25093654</v>
      </c>
      <c r="BN20" s="5" t="s">
        <v>409</v>
      </c>
      <c r="BO20" s="5" t="s">
        <v>21</v>
      </c>
      <c r="BP20" s="5" t="s">
        <v>21</v>
      </c>
      <c r="BQ20" s="5" t="s">
        <v>49</v>
      </c>
      <c r="BR20" s="5" t="s">
        <v>410</v>
      </c>
      <c r="BS20" s="5" t="str">
        <f>HYPERLINK("https%3A%2F%2Fwww.webofscience.com%2Fwos%2Fwoscc%2Ffull-record%2FWOS:000341101700015","View Full Record in Web of Science")</f>
        <v>View Full Record in Web of Science</v>
      </c>
    </row>
    <row r="21" spans="1:71" x14ac:dyDescent="0.25">
      <c r="A21" t="s">
        <v>19</v>
      </c>
      <c r="B21" s="5" t="s">
        <v>411</v>
      </c>
      <c r="C21" s="5" t="s">
        <v>21</v>
      </c>
      <c r="D21" s="5" t="s">
        <v>21</v>
      </c>
      <c r="E21" s="5" t="s">
        <v>21</v>
      </c>
      <c r="F21" s="5" t="s">
        <v>412</v>
      </c>
      <c r="G21" s="5" t="s">
        <v>21</v>
      </c>
      <c r="H21" s="5" t="s">
        <v>21</v>
      </c>
      <c r="I21" s="5" t="s">
        <v>413</v>
      </c>
      <c r="J21" s="12" t="s">
        <v>414</v>
      </c>
      <c r="K21" s="5" t="s">
        <v>21</v>
      </c>
      <c r="L21" s="5" t="s">
        <v>21</v>
      </c>
      <c r="M21" s="5" t="s">
        <v>25</v>
      </c>
      <c r="N21" s="5" t="s">
        <v>76</v>
      </c>
      <c r="O21" s="5" t="s">
        <v>21</v>
      </c>
      <c r="P21" s="5" t="s">
        <v>21</v>
      </c>
      <c r="Q21" s="5" t="s">
        <v>21</v>
      </c>
      <c r="R21" s="5" t="s">
        <v>21</v>
      </c>
      <c r="S21" s="5" t="s">
        <v>21</v>
      </c>
      <c r="T21" s="5" t="s">
        <v>415</v>
      </c>
      <c r="U21" s="5" t="s">
        <v>416</v>
      </c>
      <c r="V21" s="5" t="s">
        <v>417</v>
      </c>
      <c r="W21" s="5" t="s">
        <v>418</v>
      </c>
      <c r="X21" s="5" t="s">
        <v>419</v>
      </c>
      <c r="Y21" s="5" t="s">
        <v>420</v>
      </c>
      <c r="Z21" s="5" t="s">
        <v>421</v>
      </c>
      <c r="AA21" s="5" t="s">
        <v>422</v>
      </c>
      <c r="AB21" s="5" t="s">
        <v>423</v>
      </c>
      <c r="AC21" s="5" t="s">
        <v>21</v>
      </c>
      <c r="AD21" s="5" t="s">
        <v>21</v>
      </c>
      <c r="AE21" s="5" t="s">
        <v>21</v>
      </c>
      <c r="AF21" s="5">
        <v>29</v>
      </c>
      <c r="AG21" s="5">
        <v>142</v>
      </c>
      <c r="AH21" s="5">
        <v>175</v>
      </c>
      <c r="AI21" s="5">
        <v>1</v>
      </c>
      <c r="AJ21" s="5">
        <v>76</v>
      </c>
      <c r="AK21" s="5" t="s">
        <v>424</v>
      </c>
      <c r="AL21" s="5" t="s">
        <v>425</v>
      </c>
      <c r="AM21" s="5" t="s">
        <v>426</v>
      </c>
      <c r="AN21" s="5" t="s">
        <v>427</v>
      </c>
      <c r="AO21" s="5" t="s">
        <v>428</v>
      </c>
      <c r="AP21" s="5" t="s">
        <v>21</v>
      </c>
      <c r="AQ21" s="5" t="s">
        <v>429</v>
      </c>
      <c r="AR21" s="5" t="s">
        <v>430</v>
      </c>
      <c r="AS21" s="5" t="s">
        <v>431</v>
      </c>
      <c r="AT21" s="5">
        <v>2011</v>
      </c>
      <c r="AU21" s="5">
        <v>5</v>
      </c>
      <c r="AV21" s="5">
        <v>1</v>
      </c>
      <c r="AW21" s="5" t="s">
        <v>21</v>
      </c>
      <c r="AX21" s="5" t="s">
        <v>21</v>
      </c>
      <c r="AY21" s="5" t="s">
        <v>21</v>
      </c>
      <c r="AZ21" s="5" t="s">
        <v>21</v>
      </c>
      <c r="BA21" s="5">
        <v>96</v>
      </c>
      <c r="BB21" s="5">
        <v>107</v>
      </c>
      <c r="BC21" s="5" t="s">
        <v>21</v>
      </c>
      <c r="BD21" s="5" t="s">
        <v>432</v>
      </c>
      <c r="BE21" s="5" t="str">
        <f>HYPERLINK("http://dx.doi.org/10.1016/j.rasd.2010.08.002","http://dx.doi.org/10.1016/j.rasd.2010.08.002")</f>
        <v>http://dx.doi.org/10.1016/j.rasd.2010.08.002</v>
      </c>
      <c r="BF21" s="5" t="s">
        <v>21</v>
      </c>
      <c r="BG21" s="5" t="s">
        <v>21</v>
      </c>
      <c r="BH21" s="5">
        <v>12</v>
      </c>
      <c r="BI21" s="5" t="s">
        <v>433</v>
      </c>
      <c r="BJ21" s="5" t="s">
        <v>45</v>
      </c>
      <c r="BK21" s="5" t="s">
        <v>434</v>
      </c>
      <c r="BL21" s="5" t="s">
        <v>435</v>
      </c>
      <c r="BM21" s="5" t="s">
        <v>21</v>
      </c>
      <c r="BN21" s="5" t="s">
        <v>21</v>
      </c>
      <c r="BO21" s="5" t="s">
        <v>21</v>
      </c>
      <c r="BP21" s="5" t="s">
        <v>21</v>
      </c>
      <c r="BQ21" s="5" t="s">
        <v>49</v>
      </c>
      <c r="BR21" s="5" t="s">
        <v>436</v>
      </c>
      <c r="BS21" s="5" t="str">
        <f>HYPERLINK("https%3A%2F%2Fwww.webofscience.com%2Fwos%2Fwoscc%2Ffull-record%2FWOS:000283953800008","View Full Record in Web of Science")</f>
        <v>View Full Record in Web of Science</v>
      </c>
    </row>
    <row r="22" spans="1:71" x14ac:dyDescent="0.25">
      <c r="A22" t="s">
        <v>19</v>
      </c>
      <c r="B22" s="5" t="s">
        <v>437</v>
      </c>
      <c r="C22" s="5" t="s">
        <v>21</v>
      </c>
      <c r="D22" s="5" t="s">
        <v>21</v>
      </c>
      <c r="E22" s="5" t="s">
        <v>21</v>
      </c>
      <c r="F22" s="5" t="s">
        <v>438</v>
      </c>
      <c r="G22" s="5" t="s">
        <v>21</v>
      </c>
      <c r="H22" s="5" t="s">
        <v>21</v>
      </c>
      <c r="I22" s="5" t="s">
        <v>439</v>
      </c>
      <c r="J22" s="12" t="s">
        <v>440</v>
      </c>
      <c r="K22" s="5" t="s">
        <v>21</v>
      </c>
      <c r="L22" s="5" t="s">
        <v>21</v>
      </c>
      <c r="M22" s="5" t="s">
        <v>25</v>
      </c>
      <c r="N22" s="5" t="s">
        <v>76</v>
      </c>
      <c r="O22" s="5" t="s">
        <v>21</v>
      </c>
      <c r="P22" s="5" t="s">
        <v>21</v>
      </c>
      <c r="Q22" s="5" t="s">
        <v>21</v>
      </c>
      <c r="R22" s="5" t="s">
        <v>21</v>
      </c>
      <c r="S22" s="5" t="s">
        <v>21</v>
      </c>
      <c r="T22" s="5" t="s">
        <v>441</v>
      </c>
      <c r="U22" s="5" t="s">
        <v>442</v>
      </c>
      <c r="V22" s="5" t="s">
        <v>443</v>
      </c>
      <c r="W22" s="5" t="s">
        <v>444</v>
      </c>
      <c r="X22" s="5" t="s">
        <v>445</v>
      </c>
      <c r="Y22" s="5" t="s">
        <v>446</v>
      </c>
      <c r="Z22" s="5" t="s">
        <v>447</v>
      </c>
      <c r="AA22" s="5" t="s">
        <v>448</v>
      </c>
      <c r="AB22" s="5" t="s">
        <v>21</v>
      </c>
      <c r="AC22" s="5" t="s">
        <v>449</v>
      </c>
      <c r="AD22" s="5" t="s">
        <v>450</v>
      </c>
      <c r="AE22" s="5" t="s">
        <v>451</v>
      </c>
      <c r="AF22" s="5">
        <v>76</v>
      </c>
      <c r="AG22" s="5">
        <v>132</v>
      </c>
      <c r="AH22" s="5">
        <v>150</v>
      </c>
      <c r="AI22" s="5">
        <v>1</v>
      </c>
      <c r="AJ22" s="5">
        <v>84</v>
      </c>
      <c r="AK22" s="5" t="s">
        <v>452</v>
      </c>
      <c r="AL22" s="5" t="s">
        <v>194</v>
      </c>
      <c r="AM22" s="5" t="s">
        <v>453</v>
      </c>
      <c r="AN22" s="5" t="s">
        <v>454</v>
      </c>
      <c r="AO22" s="5" t="s">
        <v>455</v>
      </c>
      <c r="AP22" s="5" t="s">
        <v>21</v>
      </c>
      <c r="AQ22" s="5" t="s">
        <v>440</v>
      </c>
      <c r="AR22" s="5" t="s">
        <v>456</v>
      </c>
      <c r="AS22" s="5" t="s">
        <v>21</v>
      </c>
      <c r="AT22" s="5">
        <v>2011</v>
      </c>
      <c r="AU22" s="5">
        <v>36</v>
      </c>
      <c r="AV22" s="5">
        <v>1</v>
      </c>
      <c r="AW22" s="5" t="s">
        <v>21</v>
      </c>
      <c r="AX22" s="5" t="s">
        <v>21</v>
      </c>
      <c r="AY22" s="5" t="s">
        <v>21</v>
      </c>
      <c r="AZ22" s="5" t="s">
        <v>21</v>
      </c>
      <c r="BA22" s="5">
        <v>2</v>
      </c>
      <c r="BB22" s="5">
        <v>18</v>
      </c>
      <c r="BC22" s="5" t="s">
        <v>21</v>
      </c>
      <c r="BD22" s="5" t="s">
        <v>457</v>
      </c>
      <c r="BE22" s="5" t="str">
        <f>HYPERLINK("http://dx.doi.org/10.1159/000320847","http://dx.doi.org/10.1159/000320847")</f>
        <v>http://dx.doi.org/10.1159/000320847</v>
      </c>
      <c r="BF22" s="5" t="s">
        <v>21</v>
      </c>
      <c r="BG22" s="5" t="s">
        <v>21</v>
      </c>
      <c r="BH22" s="5">
        <v>17</v>
      </c>
      <c r="BI22" s="5" t="s">
        <v>458</v>
      </c>
      <c r="BJ22" s="5" t="s">
        <v>92</v>
      </c>
      <c r="BK22" s="5" t="s">
        <v>459</v>
      </c>
      <c r="BL22" s="5" t="s">
        <v>460</v>
      </c>
      <c r="BM22" s="5">
        <v>21088430</v>
      </c>
      <c r="BN22" s="5" t="s">
        <v>95</v>
      </c>
      <c r="BO22" s="5" t="s">
        <v>21</v>
      </c>
      <c r="BP22" s="5" t="s">
        <v>21</v>
      </c>
      <c r="BQ22" s="5" t="s">
        <v>49</v>
      </c>
      <c r="BR22" s="5" t="s">
        <v>461</v>
      </c>
      <c r="BS22" s="5" t="str">
        <f>HYPERLINK("https%3A%2F%2Fwww.webofscience.com%2Fwos%2Fwoscc%2Ffull-record%2FWOS:000286428000002","View Full Record in Web of Science")</f>
        <v>View Full Record in Web of Science</v>
      </c>
    </row>
    <row r="23" spans="1:71" x14ac:dyDescent="0.25">
      <c r="A23" t="s">
        <v>19</v>
      </c>
      <c r="B23" s="5" t="s">
        <v>462</v>
      </c>
      <c r="C23" s="5" t="s">
        <v>21</v>
      </c>
      <c r="D23" s="5" t="s">
        <v>21</v>
      </c>
      <c r="E23" s="5" t="s">
        <v>21</v>
      </c>
      <c r="F23" s="5" t="s">
        <v>463</v>
      </c>
      <c r="G23" s="5" t="s">
        <v>21</v>
      </c>
      <c r="H23" s="5" t="s">
        <v>21</v>
      </c>
      <c r="I23" s="5" t="s">
        <v>464</v>
      </c>
      <c r="J23" s="12" t="s">
        <v>183</v>
      </c>
      <c r="K23" s="5" t="s">
        <v>21</v>
      </c>
      <c r="L23" s="5" t="s">
        <v>21</v>
      </c>
      <c r="M23" s="5" t="s">
        <v>25</v>
      </c>
      <c r="N23" s="5" t="s">
        <v>76</v>
      </c>
      <c r="O23" s="5" t="s">
        <v>21</v>
      </c>
      <c r="P23" s="5" t="s">
        <v>21</v>
      </c>
      <c r="Q23" s="5" t="s">
        <v>21</v>
      </c>
      <c r="R23" s="5" t="s">
        <v>21</v>
      </c>
      <c r="S23" s="5" t="s">
        <v>21</v>
      </c>
      <c r="T23" s="5" t="s">
        <v>465</v>
      </c>
      <c r="U23" s="5" t="s">
        <v>466</v>
      </c>
      <c r="V23" s="5" t="s">
        <v>467</v>
      </c>
      <c r="W23" s="5" t="s">
        <v>468</v>
      </c>
      <c r="X23" s="5" t="s">
        <v>469</v>
      </c>
      <c r="Y23" s="5" t="s">
        <v>470</v>
      </c>
      <c r="Z23" s="5" t="s">
        <v>471</v>
      </c>
      <c r="AA23" s="5" t="s">
        <v>21</v>
      </c>
      <c r="AB23" s="5" t="s">
        <v>472</v>
      </c>
      <c r="AC23" s="5" t="s">
        <v>473</v>
      </c>
      <c r="AD23" s="5" t="s">
        <v>474</v>
      </c>
      <c r="AE23" s="5" t="s">
        <v>475</v>
      </c>
      <c r="AF23" s="5">
        <v>108</v>
      </c>
      <c r="AG23" s="5">
        <v>122</v>
      </c>
      <c r="AH23" s="5">
        <v>135</v>
      </c>
      <c r="AI23" s="5">
        <v>4</v>
      </c>
      <c r="AJ23" s="5">
        <v>103</v>
      </c>
      <c r="AK23" s="5" t="s">
        <v>193</v>
      </c>
      <c r="AL23" s="5" t="s">
        <v>194</v>
      </c>
      <c r="AM23" s="5" t="s">
        <v>195</v>
      </c>
      <c r="AN23" s="5" t="s">
        <v>21</v>
      </c>
      <c r="AO23" s="5" t="s">
        <v>196</v>
      </c>
      <c r="AP23" s="5" t="s">
        <v>21</v>
      </c>
      <c r="AQ23" s="5" t="s">
        <v>197</v>
      </c>
      <c r="AR23" s="5" t="s">
        <v>198</v>
      </c>
      <c r="AS23" s="5" t="s">
        <v>476</v>
      </c>
      <c r="AT23" s="5">
        <v>2019</v>
      </c>
      <c r="AU23" s="5">
        <v>19</v>
      </c>
      <c r="AV23" s="5">
        <v>20</v>
      </c>
      <c r="AW23" s="5" t="s">
        <v>21</v>
      </c>
      <c r="AX23" s="5" t="s">
        <v>21</v>
      </c>
      <c r="AY23" s="5" t="s">
        <v>21</v>
      </c>
      <c r="AZ23" s="5" t="s">
        <v>21</v>
      </c>
      <c r="BA23" s="5" t="s">
        <v>21</v>
      </c>
      <c r="BB23" s="5" t="s">
        <v>21</v>
      </c>
      <c r="BC23" s="5">
        <v>4485</v>
      </c>
      <c r="BD23" s="5" t="s">
        <v>477</v>
      </c>
      <c r="BE23" s="5" t="str">
        <f>HYPERLINK("http://dx.doi.org/10.3390/s19204485","http://dx.doi.org/10.3390/s19204485")</f>
        <v>http://dx.doi.org/10.3390/s19204485</v>
      </c>
      <c r="BF23" s="5" t="s">
        <v>21</v>
      </c>
      <c r="BG23" s="5" t="s">
        <v>21</v>
      </c>
      <c r="BH23" s="5">
        <v>22</v>
      </c>
      <c r="BI23" s="5" t="s">
        <v>201</v>
      </c>
      <c r="BJ23" s="5" t="s">
        <v>92</v>
      </c>
      <c r="BK23" s="5" t="s">
        <v>202</v>
      </c>
      <c r="BL23" s="5" t="s">
        <v>478</v>
      </c>
      <c r="BM23" s="5">
        <v>31623200</v>
      </c>
      <c r="BN23" s="5" t="s">
        <v>163</v>
      </c>
      <c r="BO23" s="5" t="s">
        <v>21</v>
      </c>
      <c r="BP23" s="5" t="s">
        <v>21</v>
      </c>
      <c r="BQ23" s="5" t="s">
        <v>49</v>
      </c>
      <c r="BR23" s="5" t="s">
        <v>479</v>
      </c>
      <c r="BS23" s="5" t="str">
        <f>HYPERLINK("https%3A%2F%2Fwww.webofscience.com%2Fwos%2Fwoscc%2Ffull-record%2FWOS:000497864700133","View Full Record in Web of Science")</f>
        <v>View Full Record in Web of Science</v>
      </c>
    </row>
    <row r="24" spans="1:71" x14ac:dyDescent="0.25">
      <c r="A24" t="s">
        <v>19</v>
      </c>
      <c r="B24" s="5" t="s">
        <v>480</v>
      </c>
      <c r="C24" s="5" t="s">
        <v>21</v>
      </c>
      <c r="D24" s="5" t="s">
        <v>21</v>
      </c>
      <c r="E24" s="5" t="s">
        <v>21</v>
      </c>
      <c r="F24" s="5" t="s">
        <v>481</v>
      </c>
      <c r="G24" s="5" t="s">
        <v>21</v>
      </c>
      <c r="H24" s="5" t="s">
        <v>21</v>
      </c>
      <c r="I24" s="5" t="s">
        <v>482</v>
      </c>
      <c r="J24" s="12" t="s">
        <v>483</v>
      </c>
      <c r="K24" s="5" t="s">
        <v>21</v>
      </c>
      <c r="L24" s="5" t="s">
        <v>21</v>
      </c>
      <c r="M24" s="5" t="s">
        <v>25</v>
      </c>
      <c r="N24" s="5" t="s">
        <v>26</v>
      </c>
      <c r="O24" s="5" t="s">
        <v>21</v>
      </c>
      <c r="P24" s="5" t="s">
        <v>21</v>
      </c>
      <c r="Q24" s="5" t="s">
        <v>21</v>
      </c>
      <c r="R24" s="5" t="s">
        <v>21</v>
      </c>
      <c r="S24" s="5" t="s">
        <v>21</v>
      </c>
      <c r="T24" s="5" t="s">
        <v>484</v>
      </c>
      <c r="U24" s="5" t="s">
        <v>485</v>
      </c>
      <c r="V24" s="5" t="s">
        <v>486</v>
      </c>
      <c r="W24" s="5" t="s">
        <v>487</v>
      </c>
      <c r="X24" s="5" t="s">
        <v>488</v>
      </c>
      <c r="Y24" s="5" t="s">
        <v>489</v>
      </c>
      <c r="Z24" s="5" t="s">
        <v>490</v>
      </c>
      <c r="AA24" s="5" t="s">
        <v>491</v>
      </c>
      <c r="AB24" s="5" t="s">
        <v>492</v>
      </c>
      <c r="AC24" s="5" t="s">
        <v>21</v>
      </c>
      <c r="AD24" s="5" t="s">
        <v>21</v>
      </c>
      <c r="AE24" s="5" t="s">
        <v>21</v>
      </c>
      <c r="AF24" s="5">
        <v>55</v>
      </c>
      <c r="AG24" s="5">
        <v>122</v>
      </c>
      <c r="AH24" s="5">
        <v>132</v>
      </c>
      <c r="AI24" s="5">
        <v>8</v>
      </c>
      <c r="AJ24" s="5">
        <v>129</v>
      </c>
      <c r="AK24" s="5" t="s">
        <v>493</v>
      </c>
      <c r="AL24" s="5" t="s">
        <v>494</v>
      </c>
      <c r="AM24" s="5" t="s">
        <v>495</v>
      </c>
      <c r="AN24" s="5" t="s">
        <v>496</v>
      </c>
      <c r="AO24" s="5" t="s">
        <v>497</v>
      </c>
      <c r="AP24" s="5" t="s">
        <v>21</v>
      </c>
      <c r="AQ24" s="5" t="s">
        <v>498</v>
      </c>
      <c r="AR24" s="5" t="s">
        <v>499</v>
      </c>
      <c r="AS24" s="5" t="s">
        <v>500</v>
      </c>
      <c r="AT24" s="5">
        <v>2013</v>
      </c>
      <c r="AU24" s="5">
        <v>106</v>
      </c>
      <c r="AV24" s="5">
        <v>6</v>
      </c>
      <c r="AW24" s="5" t="s">
        <v>21</v>
      </c>
      <c r="AX24" s="5" t="s">
        <v>21</v>
      </c>
      <c r="AY24" s="5" t="s">
        <v>501</v>
      </c>
      <c r="AZ24" s="5" t="s">
        <v>21</v>
      </c>
      <c r="BA24" s="5">
        <v>441</v>
      </c>
      <c r="BB24" s="5">
        <v>461</v>
      </c>
      <c r="BC24" s="5" t="s">
        <v>21</v>
      </c>
      <c r="BD24" s="5" t="s">
        <v>502</v>
      </c>
      <c r="BE24" s="5" t="str">
        <f>HYPERLINK("http://dx.doi.org/10.1080/00220671.2013.832999","http://dx.doi.org/10.1080/00220671.2013.832999")</f>
        <v>http://dx.doi.org/10.1080/00220671.2013.832999</v>
      </c>
      <c r="BF24" s="5" t="s">
        <v>21</v>
      </c>
      <c r="BG24" s="5" t="s">
        <v>21</v>
      </c>
      <c r="BH24" s="5">
        <v>21</v>
      </c>
      <c r="BI24" s="5" t="s">
        <v>503</v>
      </c>
      <c r="BJ24" s="5" t="s">
        <v>45</v>
      </c>
      <c r="BK24" s="5" t="s">
        <v>503</v>
      </c>
      <c r="BL24" s="5" t="s">
        <v>504</v>
      </c>
      <c r="BM24" s="5" t="s">
        <v>21</v>
      </c>
      <c r="BN24" s="5" t="s">
        <v>21</v>
      </c>
      <c r="BO24" s="5" t="s">
        <v>21</v>
      </c>
      <c r="BP24" s="5" t="s">
        <v>21</v>
      </c>
      <c r="BQ24" s="5" t="s">
        <v>49</v>
      </c>
      <c r="BR24" s="5" t="s">
        <v>505</v>
      </c>
      <c r="BS24" s="5" t="str">
        <f>HYPERLINK("https%3A%2F%2Fwww.webofscience.com%2Fwos%2Fwoscc%2Ffull-record%2FWOS:000324977200004","View Full Record in Web of Science")</f>
        <v>View Full Record in Web of Science</v>
      </c>
    </row>
    <row r="25" spans="1:71" x14ac:dyDescent="0.25">
      <c r="A25" t="s">
        <v>19</v>
      </c>
      <c r="B25" s="5" t="s">
        <v>506</v>
      </c>
      <c r="C25" s="5" t="s">
        <v>21</v>
      </c>
      <c r="D25" s="5" t="s">
        <v>21</v>
      </c>
      <c r="E25" s="5" t="s">
        <v>21</v>
      </c>
      <c r="F25" s="5" t="s">
        <v>507</v>
      </c>
      <c r="G25" s="5" t="s">
        <v>21</v>
      </c>
      <c r="H25" s="5" t="s">
        <v>21</v>
      </c>
      <c r="I25" s="5" t="s">
        <v>508</v>
      </c>
      <c r="J25" s="12" t="s">
        <v>509</v>
      </c>
      <c r="K25" s="5" t="s">
        <v>21</v>
      </c>
      <c r="L25" s="5" t="s">
        <v>21</v>
      </c>
      <c r="M25" s="5" t="s">
        <v>25</v>
      </c>
      <c r="N25" s="5" t="s">
        <v>26</v>
      </c>
      <c r="O25" s="5" t="s">
        <v>21</v>
      </c>
      <c r="P25" s="5" t="s">
        <v>21</v>
      </c>
      <c r="Q25" s="5" t="s">
        <v>21</v>
      </c>
      <c r="R25" s="5" t="s">
        <v>21</v>
      </c>
      <c r="S25" s="5" t="s">
        <v>21</v>
      </c>
      <c r="T25" s="5" t="s">
        <v>510</v>
      </c>
      <c r="U25" s="5" t="s">
        <v>511</v>
      </c>
      <c r="V25" s="5" t="s">
        <v>512</v>
      </c>
      <c r="W25" s="5" t="s">
        <v>513</v>
      </c>
      <c r="X25" s="5" t="s">
        <v>514</v>
      </c>
      <c r="Y25" s="5" t="s">
        <v>515</v>
      </c>
      <c r="Z25" s="5" t="s">
        <v>516</v>
      </c>
      <c r="AA25" s="5" t="s">
        <v>21</v>
      </c>
      <c r="AB25" s="5" t="s">
        <v>21</v>
      </c>
      <c r="AC25" s="5" t="s">
        <v>21</v>
      </c>
      <c r="AD25" s="5" t="s">
        <v>21</v>
      </c>
      <c r="AE25" s="5" t="s">
        <v>21</v>
      </c>
      <c r="AF25" s="5">
        <v>32</v>
      </c>
      <c r="AG25" s="5">
        <v>122</v>
      </c>
      <c r="AH25" s="5">
        <v>141</v>
      </c>
      <c r="AI25" s="5">
        <v>0</v>
      </c>
      <c r="AJ25" s="5">
        <v>50</v>
      </c>
      <c r="AK25" s="5" t="s">
        <v>517</v>
      </c>
      <c r="AL25" s="5" t="s">
        <v>518</v>
      </c>
      <c r="AM25" s="5" t="s">
        <v>519</v>
      </c>
      <c r="AN25" s="5" t="s">
        <v>520</v>
      </c>
      <c r="AO25" s="5" t="s">
        <v>21</v>
      </c>
      <c r="AP25" s="5" t="s">
        <v>21</v>
      </c>
      <c r="AQ25" s="5" t="s">
        <v>521</v>
      </c>
      <c r="AR25" s="5" t="s">
        <v>522</v>
      </c>
      <c r="AS25" s="5" t="s">
        <v>431</v>
      </c>
      <c r="AT25" s="5">
        <v>2008</v>
      </c>
      <c r="AU25" s="5">
        <v>7</v>
      </c>
      <c r="AV25" s="5">
        <v>1</v>
      </c>
      <c r="AW25" s="5" t="s">
        <v>21</v>
      </c>
      <c r="AX25" s="5" t="s">
        <v>21</v>
      </c>
      <c r="AY25" s="5" t="s">
        <v>21</v>
      </c>
      <c r="AZ25" s="5" t="s">
        <v>21</v>
      </c>
      <c r="BA25" s="5">
        <v>49</v>
      </c>
      <c r="BB25" s="5">
        <v>56</v>
      </c>
      <c r="BC25" s="5" t="s">
        <v>21</v>
      </c>
      <c r="BD25" s="5" t="s">
        <v>21</v>
      </c>
      <c r="BE25" s="5" t="s">
        <v>21</v>
      </c>
      <c r="BF25" s="5" t="s">
        <v>21</v>
      </c>
      <c r="BG25" s="5" t="s">
        <v>21</v>
      </c>
      <c r="BH25" s="5">
        <v>8</v>
      </c>
      <c r="BI25" s="5" t="s">
        <v>523</v>
      </c>
      <c r="BJ25" s="5" t="s">
        <v>524</v>
      </c>
      <c r="BK25" s="5" t="s">
        <v>523</v>
      </c>
      <c r="BL25" s="5" t="s">
        <v>525</v>
      </c>
      <c r="BM25" s="5" t="s">
        <v>21</v>
      </c>
      <c r="BN25" s="5" t="s">
        <v>21</v>
      </c>
      <c r="BO25" s="5" t="s">
        <v>21</v>
      </c>
      <c r="BP25" s="5" t="s">
        <v>21</v>
      </c>
      <c r="BQ25" s="5" t="s">
        <v>49</v>
      </c>
      <c r="BR25" s="5" t="s">
        <v>526</v>
      </c>
      <c r="BS25" s="5" t="str">
        <f>HYPERLINK("https%3A%2F%2Fwww.webofscience.com%2Fwos%2Fwoscc%2Ffull-record%2FWOS:000255971000009","View Full Record in Web of Science")</f>
        <v>View Full Record in Web of Science</v>
      </c>
    </row>
    <row r="26" spans="1:71" x14ac:dyDescent="0.25">
      <c r="A26" t="s">
        <v>19</v>
      </c>
      <c r="B26" s="5" t="s">
        <v>527</v>
      </c>
      <c r="C26" s="5" t="s">
        <v>21</v>
      </c>
      <c r="D26" s="5" t="s">
        <v>21</v>
      </c>
      <c r="E26" s="5" t="s">
        <v>21</v>
      </c>
      <c r="F26" s="5" t="s">
        <v>528</v>
      </c>
      <c r="G26" s="5" t="s">
        <v>21</v>
      </c>
      <c r="H26" s="5" t="s">
        <v>21</v>
      </c>
      <c r="I26" s="5" t="s">
        <v>529</v>
      </c>
      <c r="J26" s="12" t="s">
        <v>530</v>
      </c>
      <c r="K26" s="5" t="s">
        <v>21</v>
      </c>
      <c r="L26" s="5" t="s">
        <v>21</v>
      </c>
      <c r="M26" s="5" t="s">
        <v>25</v>
      </c>
      <c r="N26" s="5" t="s">
        <v>76</v>
      </c>
      <c r="O26" s="5" t="s">
        <v>21</v>
      </c>
      <c r="P26" s="5" t="s">
        <v>21</v>
      </c>
      <c r="Q26" s="5" t="s">
        <v>21</v>
      </c>
      <c r="R26" s="5" t="s">
        <v>21</v>
      </c>
      <c r="S26" s="5" t="s">
        <v>21</v>
      </c>
      <c r="T26" s="5" t="s">
        <v>531</v>
      </c>
      <c r="U26" s="5" t="s">
        <v>532</v>
      </c>
      <c r="V26" s="5" t="s">
        <v>533</v>
      </c>
      <c r="W26" s="5" t="s">
        <v>534</v>
      </c>
      <c r="X26" s="5" t="s">
        <v>535</v>
      </c>
      <c r="Y26" s="5" t="s">
        <v>536</v>
      </c>
      <c r="Z26" s="5" t="s">
        <v>537</v>
      </c>
      <c r="AA26" s="5" t="s">
        <v>21</v>
      </c>
      <c r="AB26" s="5" t="s">
        <v>538</v>
      </c>
      <c r="AC26" s="5" t="s">
        <v>21</v>
      </c>
      <c r="AD26" s="5" t="s">
        <v>21</v>
      </c>
      <c r="AE26" s="5" t="s">
        <v>21</v>
      </c>
      <c r="AF26" s="5">
        <v>116</v>
      </c>
      <c r="AG26" s="5">
        <v>120</v>
      </c>
      <c r="AH26" s="5">
        <v>126</v>
      </c>
      <c r="AI26" s="5">
        <v>6</v>
      </c>
      <c r="AJ26" s="5">
        <v>124</v>
      </c>
      <c r="AK26" s="5" t="s">
        <v>424</v>
      </c>
      <c r="AL26" s="5" t="s">
        <v>425</v>
      </c>
      <c r="AM26" s="5" t="s">
        <v>426</v>
      </c>
      <c r="AN26" s="5" t="s">
        <v>539</v>
      </c>
      <c r="AO26" s="5" t="s">
        <v>540</v>
      </c>
      <c r="AP26" s="5" t="s">
        <v>21</v>
      </c>
      <c r="AQ26" s="5" t="s">
        <v>541</v>
      </c>
      <c r="AR26" s="5" t="s">
        <v>542</v>
      </c>
      <c r="AS26" s="5" t="s">
        <v>543</v>
      </c>
      <c r="AT26" s="5">
        <v>2016</v>
      </c>
      <c r="AU26" s="5">
        <v>19</v>
      </c>
      <c r="AV26" s="5" t="s">
        <v>21</v>
      </c>
      <c r="AW26" s="5" t="s">
        <v>21</v>
      </c>
      <c r="AX26" s="5" t="s">
        <v>21</v>
      </c>
      <c r="AY26" s="5" t="s">
        <v>21</v>
      </c>
      <c r="AZ26" s="5" t="s">
        <v>21</v>
      </c>
      <c r="BA26" s="5">
        <v>138</v>
      </c>
      <c r="BB26" s="5">
        <v>157</v>
      </c>
      <c r="BC26" s="5" t="s">
        <v>21</v>
      </c>
      <c r="BD26" s="5" t="s">
        <v>544</v>
      </c>
      <c r="BE26" s="5" t="str">
        <f>HYPERLINK("http://dx.doi.org/10.1016/j.edurev.2016.08.001","http://dx.doi.org/10.1016/j.edurev.2016.08.001")</f>
        <v>http://dx.doi.org/10.1016/j.edurev.2016.08.001</v>
      </c>
      <c r="BF26" s="5" t="s">
        <v>21</v>
      </c>
      <c r="BG26" s="5" t="s">
        <v>21</v>
      </c>
      <c r="BH26" s="5">
        <v>20</v>
      </c>
      <c r="BI26" s="5" t="s">
        <v>503</v>
      </c>
      <c r="BJ26" s="5" t="s">
        <v>45</v>
      </c>
      <c r="BK26" s="5" t="s">
        <v>503</v>
      </c>
      <c r="BL26" s="5" t="s">
        <v>545</v>
      </c>
      <c r="BM26" s="5" t="s">
        <v>21</v>
      </c>
      <c r="BN26" s="5" t="s">
        <v>137</v>
      </c>
      <c r="BO26" s="5" t="s">
        <v>21</v>
      </c>
      <c r="BP26" s="5" t="s">
        <v>21</v>
      </c>
      <c r="BQ26" s="5" t="s">
        <v>49</v>
      </c>
      <c r="BR26" s="5" t="s">
        <v>546</v>
      </c>
      <c r="BS26" s="5" t="str">
        <f>HYPERLINK("https%3A%2F%2Fwww.webofscience.com%2Fwos%2Fwoscc%2Ffull-record%2FWOS:000387525600008","View Full Record in Web of Science")</f>
        <v>View Full Record in Web of Science</v>
      </c>
    </row>
    <row r="27" spans="1:71" x14ac:dyDescent="0.25">
      <c r="A27" t="s">
        <v>19</v>
      </c>
      <c r="B27" s="5" t="s">
        <v>547</v>
      </c>
      <c r="C27" s="5" t="s">
        <v>21</v>
      </c>
      <c r="D27" s="5" t="s">
        <v>21</v>
      </c>
      <c r="E27" s="5" t="s">
        <v>21</v>
      </c>
      <c r="F27" s="5" t="s">
        <v>548</v>
      </c>
      <c r="G27" s="5" t="s">
        <v>21</v>
      </c>
      <c r="H27" s="5" t="s">
        <v>21</v>
      </c>
      <c r="I27" s="5" t="s">
        <v>549</v>
      </c>
      <c r="J27" s="12" t="s">
        <v>550</v>
      </c>
      <c r="K27" s="5" t="s">
        <v>21</v>
      </c>
      <c r="L27" s="5" t="s">
        <v>21</v>
      </c>
      <c r="M27" s="5" t="s">
        <v>25</v>
      </c>
      <c r="N27" s="5" t="s">
        <v>26</v>
      </c>
      <c r="O27" s="5" t="s">
        <v>21</v>
      </c>
      <c r="P27" s="5" t="s">
        <v>21</v>
      </c>
      <c r="Q27" s="5" t="s">
        <v>21</v>
      </c>
      <c r="R27" s="5" t="s">
        <v>21</v>
      </c>
      <c r="S27" s="5" t="s">
        <v>21</v>
      </c>
      <c r="T27" s="5" t="s">
        <v>21</v>
      </c>
      <c r="U27" s="5" t="s">
        <v>551</v>
      </c>
      <c r="V27" s="5" t="s">
        <v>552</v>
      </c>
      <c r="W27" s="5" t="s">
        <v>553</v>
      </c>
      <c r="X27" s="5" t="s">
        <v>554</v>
      </c>
      <c r="Y27" s="5" t="s">
        <v>555</v>
      </c>
      <c r="Z27" s="5" t="s">
        <v>556</v>
      </c>
      <c r="AA27" s="5" t="s">
        <v>21</v>
      </c>
      <c r="AB27" s="5" t="s">
        <v>557</v>
      </c>
      <c r="AC27" s="5" t="s">
        <v>558</v>
      </c>
      <c r="AD27" s="5" t="s">
        <v>558</v>
      </c>
      <c r="AE27" s="5" t="s">
        <v>559</v>
      </c>
      <c r="AF27" s="5">
        <v>49</v>
      </c>
      <c r="AG27" s="5">
        <v>114</v>
      </c>
      <c r="AH27" s="5">
        <v>133</v>
      </c>
      <c r="AI27" s="5">
        <v>5</v>
      </c>
      <c r="AJ27" s="5">
        <v>108</v>
      </c>
      <c r="AK27" s="5" t="s">
        <v>560</v>
      </c>
      <c r="AL27" s="5" t="s">
        <v>561</v>
      </c>
      <c r="AM27" s="5" t="s">
        <v>562</v>
      </c>
      <c r="AN27" s="5" t="s">
        <v>563</v>
      </c>
      <c r="AO27" s="5" t="s">
        <v>21</v>
      </c>
      <c r="AP27" s="5" t="s">
        <v>21</v>
      </c>
      <c r="AQ27" s="5" t="s">
        <v>550</v>
      </c>
      <c r="AR27" s="5" t="s">
        <v>564</v>
      </c>
      <c r="AS27" s="5" t="s">
        <v>565</v>
      </c>
      <c r="AT27" s="5">
        <v>2014</v>
      </c>
      <c r="AU27" s="5">
        <v>9</v>
      </c>
      <c r="AV27" s="5">
        <v>7</v>
      </c>
      <c r="AW27" s="5" t="s">
        <v>21</v>
      </c>
      <c r="AX27" s="5" t="s">
        <v>21</v>
      </c>
      <c r="AY27" s="5" t="s">
        <v>21</v>
      </c>
      <c r="AZ27" s="5" t="s">
        <v>21</v>
      </c>
      <c r="BA27" s="5" t="s">
        <v>21</v>
      </c>
      <c r="BB27" s="5" t="s">
        <v>21</v>
      </c>
      <c r="BC27" s="5" t="s">
        <v>566</v>
      </c>
      <c r="BD27" s="5" t="s">
        <v>567</v>
      </c>
      <c r="BE27" s="5" t="str">
        <f>HYPERLINK("http://dx.doi.org/10.1371/journal.pone.0100374","http://dx.doi.org/10.1371/journal.pone.0100374")</f>
        <v>http://dx.doi.org/10.1371/journal.pone.0100374</v>
      </c>
      <c r="BF27" s="5" t="s">
        <v>21</v>
      </c>
      <c r="BG27" s="5" t="s">
        <v>21</v>
      </c>
      <c r="BH27" s="5">
        <v>12</v>
      </c>
      <c r="BI27" s="5" t="s">
        <v>568</v>
      </c>
      <c r="BJ27" s="5" t="s">
        <v>92</v>
      </c>
      <c r="BK27" s="5" t="s">
        <v>569</v>
      </c>
      <c r="BL27" s="5" t="s">
        <v>570</v>
      </c>
      <c r="BM27" s="5">
        <v>24987957</v>
      </c>
      <c r="BN27" s="5" t="s">
        <v>204</v>
      </c>
      <c r="BO27" s="5" t="s">
        <v>21</v>
      </c>
      <c r="BP27" s="5" t="s">
        <v>21</v>
      </c>
      <c r="BQ27" s="5" t="s">
        <v>49</v>
      </c>
      <c r="BR27" s="5" t="s">
        <v>571</v>
      </c>
      <c r="BS27" s="5" t="str">
        <f>HYPERLINK("https%3A%2F%2Fwww.webofscience.com%2Fwos%2Fwoscc%2Ffull-record%2FWOS:000341354100029","View Full Record in Web of Science")</f>
        <v>View Full Record in Web of Science</v>
      </c>
    </row>
    <row r="28" spans="1:71" x14ac:dyDescent="0.25">
      <c r="A28" t="s">
        <v>19</v>
      </c>
      <c r="B28" s="5" t="s">
        <v>572</v>
      </c>
      <c r="C28" s="5" t="s">
        <v>21</v>
      </c>
      <c r="D28" s="5" t="s">
        <v>21</v>
      </c>
      <c r="E28" s="5" t="s">
        <v>21</v>
      </c>
      <c r="F28" s="5" t="s">
        <v>573</v>
      </c>
      <c r="G28" s="5" t="s">
        <v>21</v>
      </c>
      <c r="H28" s="5" t="s">
        <v>21</v>
      </c>
      <c r="I28" s="5" t="s">
        <v>574</v>
      </c>
      <c r="J28" s="12" t="s">
        <v>575</v>
      </c>
      <c r="K28" s="5" t="s">
        <v>21</v>
      </c>
      <c r="L28" s="5" t="s">
        <v>21</v>
      </c>
      <c r="M28" s="5" t="s">
        <v>25</v>
      </c>
      <c r="N28" s="5" t="s">
        <v>76</v>
      </c>
      <c r="O28" s="5" t="s">
        <v>21</v>
      </c>
      <c r="P28" s="5" t="s">
        <v>21</v>
      </c>
      <c r="Q28" s="5" t="s">
        <v>21</v>
      </c>
      <c r="R28" s="5" t="s">
        <v>21</v>
      </c>
      <c r="S28" s="5" t="s">
        <v>21</v>
      </c>
      <c r="T28" s="5" t="s">
        <v>576</v>
      </c>
      <c r="U28" s="5" t="s">
        <v>577</v>
      </c>
      <c r="V28" s="5" t="s">
        <v>578</v>
      </c>
      <c r="W28" s="5" t="s">
        <v>579</v>
      </c>
      <c r="X28" s="5" t="s">
        <v>580</v>
      </c>
      <c r="Y28" s="5" t="s">
        <v>581</v>
      </c>
      <c r="Z28" s="5" t="s">
        <v>582</v>
      </c>
      <c r="AA28" s="5" t="s">
        <v>21</v>
      </c>
      <c r="AB28" s="5" t="s">
        <v>583</v>
      </c>
      <c r="AC28" s="5" t="s">
        <v>21</v>
      </c>
      <c r="AD28" s="5" t="s">
        <v>21</v>
      </c>
      <c r="AE28" s="5" t="s">
        <v>21</v>
      </c>
      <c r="AF28" s="5">
        <v>60</v>
      </c>
      <c r="AG28" s="5">
        <v>112</v>
      </c>
      <c r="AH28" s="5">
        <v>129</v>
      </c>
      <c r="AI28" s="5">
        <v>1</v>
      </c>
      <c r="AJ28" s="5">
        <v>38</v>
      </c>
      <c r="AK28" s="5" t="s">
        <v>584</v>
      </c>
      <c r="AL28" s="5" t="s">
        <v>585</v>
      </c>
      <c r="AM28" s="5" t="s">
        <v>586</v>
      </c>
      <c r="AN28" s="5" t="s">
        <v>587</v>
      </c>
      <c r="AO28" s="5" t="s">
        <v>588</v>
      </c>
      <c r="AP28" s="5" t="s">
        <v>21</v>
      </c>
      <c r="AQ28" s="5" t="s">
        <v>589</v>
      </c>
      <c r="AR28" s="5" t="s">
        <v>590</v>
      </c>
      <c r="AS28" s="5" t="s">
        <v>21</v>
      </c>
      <c r="AT28" s="5">
        <v>2009</v>
      </c>
      <c r="AU28" s="5">
        <v>12</v>
      </c>
      <c r="AV28" s="5">
        <v>4</v>
      </c>
      <c r="AW28" s="5" t="s">
        <v>21</v>
      </c>
      <c r="AX28" s="5" t="s">
        <v>21</v>
      </c>
      <c r="AY28" s="5" t="s">
        <v>21</v>
      </c>
      <c r="AZ28" s="5" t="s">
        <v>21</v>
      </c>
      <c r="BA28" s="5">
        <v>224</v>
      </c>
      <c r="BB28" s="5">
        <v>238</v>
      </c>
      <c r="BC28" s="5" t="s">
        <v>21</v>
      </c>
      <c r="BD28" s="5" t="s">
        <v>591</v>
      </c>
      <c r="BE28" s="5" t="str">
        <f>HYPERLINK("http://dx.doi.org/10.1080/17518420902991719","http://dx.doi.org/10.1080/17518420902991719")</f>
        <v>http://dx.doi.org/10.1080/17518420902991719</v>
      </c>
      <c r="BF28" s="5" t="s">
        <v>21</v>
      </c>
      <c r="BG28" s="5" t="s">
        <v>21</v>
      </c>
      <c r="BH28" s="5">
        <v>15</v>
      </c>
      <c r="BI28" s="5" t="s">
        <v>592</v>
      </c>
      <c r="BJ28" s="5" t="s">
        <v>524</v>
      </c>
      <c r="BK28" s="5" t="s">
        <v>593</v>
      </c>
      <c r="BL28" s="5" t="s">
        <v>594</v>
      </c>
      <c r="BM28" s="5">
        <v>19842822</v>
      </c>
      <c r="BN28" s="5" t="s">
        <v>21</v>
      </c>
      <c r="BO28" s="5" t="s">
        <v>21</v>
      </c>
      <c r="BP28" s="5" t="s">
        <v>21</v>
      </c>
      <c r="BQ28" s="5" t="s">
        <v>49</v>
      </c>
      <c r="BR28" s="5" t="s">
        <v>595</v>
      </c>
      <c r="BS28" s="5" t="str">
        <f>HYPERLINK("https%3A%2F%2Fwww.webofscience.com%2Fwos%2Fwoscc%2Ffull-record%2FWOS:000207788300007","View Full Record in Web of Science")</f>
        <v>View Full Record in Web of Science</v>
      </c>
    </row>
    <row r="29" spans="1:71" x14ac:dyDescent="0.25">
      <c r="A29" t="s">
        <v>19</v>
      </c>
      <c r="B29" s="5" t="s">
        <v>596</v>
      </c>
      <c r="C29" s="5" t="s">
        <v>21</v>
      </c>
      <c r="D29" s="5" t="s">
        <v>21</v>
      </c>
      <c r="E29" s="5" t="s">
        <v>21</v>
      </c>
      <c r="F29" s="5" t="s">
        <v>597</v>
      </c>
      <c r="G29" s="5" t="s">
        <v>21</v>
      </c>
      <c r="H29" s="5" t="s">
        <v>21</v>
      </c>
      <c r="I29" s="5" t="s">
        <v>598</v>
      </c>
      <c r="J29" s="12" t="s">
        <v>24</v>
      </c>
      <c r="K29" s="5" t="s">
        <v>21</v>
      </c>
      <c r="L29" s="5" t="s">
        <v>21</v>
      </c>
      <c r="M29" s="5" t="s">
        <v>25</v>
      </c>
      <c r="N29" s="5" t="s">
        <v>26</v>
      </c>
      <c r="O29" s="5" t="s">
        <v>21</v>
      </c>
      <c r="P29" s="5" t="s">
        <v>21</v>
      </c>
      <c r="Q29" s="5" t="s">
        <v>21</v>
      </c>
      <c r="R29" s="5" t="s">
        <v>21</v>
      </c>
      <c r="S29" s="5" t="s">
        <v>21</v>
      </c>
      <c r="T29" s="5" t="s">
        <v>599</v>
      </c>
      <c r="U29" s="5" t="s">
        <v>600</v>
      </c>
      <c r="V29" s="5" t="s">
        <v>601</v>
      </c>
      <c r="W29" s="5" t="s">
        <v>602</v>
      </c>
      <c r="X29" s="5" t="s">
        <v>603</v>
      </c>
      <c r="Y29" s="5" t="s">
        <v>604</v>
      </c>
      <c r="Z29" s="5" t="s">
        <v>605</v>
      </c>
      <c r="AA29" s="5" t="s">
        <v>21</v>
      </c>
      <c r="AB29" s="5" t="s">
        <v>21</v>
      </c>
      <c r="AC29" s="5" t="s">
        <v>21</v>
      </c>
      <c r="AD29" s="5" t="s">
        <v>21</v>
      </c>
      <c r="AE29" s="5" t="s">
        <v>21</v>
      </c>
      <c r="AF29" s="5">
        <v>49</v>
      </c>
      <c r="AG29" s="5">
        <v>105</v>
      </c>
      <c r="AH29" s="5">
        <v>144</v>
      </c>
      <c r="AI29" s="5">
        <v>2</v>
      </c>
      <c r="AJ29" s="5">
        <v>50</v>
      </c>
      <c r="AK29" s="5" t="s">
        <v>35</v>
      </c>
      <c r="AL29" s="5" t="s">
        <v>36</v>
      </c>
      <c r="AM29" s="5" t="s">
        <v>37</v>
      </c>
      <c r="AN29" s="5" t="s">
        <v>38</v>
      </c>
      <c r="AO29" s="5" t="s">
        <v>39</v>
      </c>
      <c r="AP29" s="5" t="s">
        <v>21</v>
      </c>
      <c r="AQ29" s="5" t="s">
        <v>40</v>
      </c>
      <c r="AR29" s="5" t="s">
        <v>41</v>
      </c>
      <c r="AS29" s="5" t="s">
        <v>42</v>
      </c>
      <c r="AT29" s="5">
        <v>2009</v>
      </c>
      <c r="AU29" s="5">
        <v>39</v>
      </c>
      <c r="AV29" s="5">
        <v>1</v>
      </c>
      <c r="AW29" s="5" t="s">
        <v>21</v>
      </c>
      <c r="AX29" s="5" t="s">
        <v>21</v>
      </c>
      <c r="AY29" s="5" t="s">
        <v>21</v>
      </c>
      <c r="AZ29" s="5" t="s">
        <v>21</v>
      </c>
      <c r="BA29" s="5">
        <v>172</v>
      </c>
      <c r="BB29" s="5">
        <v>187</v>
      </c>
      <c r="BC29" s="5" t="s">
        <v>21</v>
      </c>
      <c r="BD29" s="5" t="s">
        <v>606</v>
      </c>
      <c r="BE29" s="5" t="str">
        <f>HYPERLINK("http://dx.doi.org/10.1007/s10803-008-0616-0","http://dx.doi.org/10.1007/s10803-008-0616-0")</f>
        <v>http://dx.doi.org/10.1007/s10803-008-0616-0</v>
      </c>
      <c r="BF29" s="5" t="s">
        <v>21</v>
      </c>
      <c r="BG29" s="5" t="s">
        <v>21</v>
      </c>
      <c r="BH29" s="5">
        <v>16</v>
      </c>
      <c r="BI29" s="5" t="s">
        <v>44</v>
      </c>
      <c r="BJ29" s="5" t="s">
        <v>45</v>
      </c>
      <c r="BK29" s="5" t="s">
        <v>46</v>
      </c>
      <c r="BL29" s="5" t="s">
        <v>607</v>
      </c>
      <c r="BM29" s="5">
        <v>18626761</v>
      </c>
      <c r="BN29" s="5" t="s">
        <v>21</v>
      </c>
      <c r="BO29" s="5" t="s">
        <v>21</v>
      </c>
      <c r="BP29" s="5" t="s">
        <v>21</v>
      </c>
      <c r="BQ29" s="5" t="s">
        <v>49</v>
      </c>
      <c r="BR29" s="5" t="s">
        <v>608</v>
      </c>
      <c r="BS29" s="5" t="str">
        <f>HYPERLINK("https%3A%2F%2Fwww.webofscience.com%2Fwos%2Fwoscc%2Ffull-record%2FWOS:000261831800017","View Full Record in Web of Science")</f>
        <v>View Full Record in Web of Science</v>
      </c>
    </row>
    <row r="30" spans="1:71" x14ac:dyDescent="0.25">
      <c r="A30" t="s">
        <v>19</v>
      </c>
      <c r="B30" s="5" t="s">
        <v>609</v>
      </c>
      <c r="C30" s="5" t="s">
        <v>21</v>
      </c>
      <c r="D30" s="5" t="s">
        <v>21</v>
      </c>
      <c r="E30" s="5" t="s">
        <v>21</v>
      </c>
      <c r="F30" s="5" t="s">
        <v>610</v>
      </c>
      <c r="G30" s="5" t="s">
        <v>21</v>
      </c>
      <c r="H30" s="5" t="s">
        <v>21</v>
      </c>
      <c r="I30" s="5" t="s">
        <v>611</v>
      </c>
      <c r="J30" s="12" t="s">
        <v>24</v>
      </c>
      <c r="K30" s="5" t="s">
        <v>21</v>
      </c>
      <c r="L30" s="5" t="s">
        <v>21</v>
      </c>
      <c r="M30" s="5" t="s">
        <v>25</v>
      </c>
      <c r="N30" s="5" t="s">
        <v>26</v>
      </c>
      <c r="O30" s="5" t="s">
        <v>21</v>
      </c>
      <c r="P30" s="5" t="s">
        <v>21</v>
      </c>
      <c r="Q30" s="5" t="s">
        <v>21</v>
      </c>
      <c r="R30" s="5" t="s">
        <v>21</v>
      </c>
      <c r="S30" s="5" t="s">
        <v>21</v>
      </c>
      <c r="T30" s="5" t="s">
        <v>612</v>
      </c>
      <c r="U30" s="5" t="s">
        <v>613</v>
      </c>
      <c r="V30" s="5" t="s">
        <v>614</v>
      </c>
      <c r="W30" s="5" t="s">
        <v>615</v>
      </c>
      <c r="X30" s="5" t="s">
        <v>616</v>
      </c>
      <c r="Y30" s="5" t="s">
        <v>617</v>
      </c>
      <c r="Z30" s="5" t="s">
        <v>131</v>
      </c>
      <c r="AA30" s="5" t="s">
        <v>618</v>
      </c>
      <c r="AB30" s="5" t="s">
        <v>619</v>
      </c>
      <c r="AC30" s="5" t="s">
        <v>620</v>
      </c>
      <c r="AD30" s="5" t="s">
        <v>620</v>
      </c>
      <c r="AE30" s="5" t="s">
        <v>621</v>
      </c>
      <c r="AF30" s="5">
        <v>25</v>
      </c>
      <c r="AG30" s="5">
        <v>102</v>
      </c>
      <c r="AH30" s="5">
        <v>110</v>
      </c>
      <c r="AI30" s="5">
        <v>7</v>
      </c>
      <c r="AJ30" s="5">
        <v>86</v>
      </c>
      <c r="AK30" s="5" t="s">
        <v>35</v>
      </c>
      <c r="AL30" s="5" t="s">
        <v>36</v>
      </c>
      <c r="AM30" s="5" t="s">
        <v>37</v>
      </c>
      <c r="AN30" s="5" t="s">
        <v>38</v>
      </c>
      <c r="AO30" s="5" t="s">
        <v>39</v>
      </c>
      <c r="AP30" s="5" t="s">
        <v>21</v>
      </c>
      <c r="AQ30" s="5" t="s">
        <v>40</v>
      </c>
      <c r="AR30" s="5" t="s">
        <v>41</v>
      </c>
      <c r="AS30" s="5" t="s">
        <v>134</v>
      </c>
      <c r="AT30" s="5">
        <v>2015</v>
      </c>
      <c r="AU30" s="5">
        <v>45</v>
      </c>
      <c r="AV30" s="5">
        <v>10</v>
      </c>
      <c r="AW30" s="5" t="s">
        <v>21</v>
      </c>
      <c r="AX30" s="5" t="s">
        <v>21</v>
      </c>
      <c r="AY30" s="5" t="s">
        <v>21</v>
      </c>
      <c r="AZ30" s="5" t="s">
        <v>21</v>
      </c>
      <c r="BA30" s="5">
        <v>3364</v>
      </c>
      <c r="BB30" s="5">
        <v>3369</v>
      </c>
      <c r="BC30" s="5" t="s">
        <v>21</v>
      </c>
      <c r="BD30" s="5" t="s">
        <v>622</v>
      </c>
      <c r="BE30" s="5" t="str">
        <f>HYPERLINK("http://dx.doi.org/10.1007/s10803-015-2470-1","http://dx.doi.org/10.1007/s10803-015-2470-1")</f>
        <v>http://dx.doi.org/10.1007/s10803-015-2470-1</v>
      </c>
      <c r="BF30" s="5" t="s">
        <v>21</v>
      </c>
      <c r="BG30" s="5" t="s">
        <v>21</v>
      </c>
      <c r="BH30" s="5">
        <v>6</v>
      </c>
      <c r="BI30" s="5" t="s">
        <v>44</v>
      </c>
      <c r="BJ30" s="5" t="s">
        <v>45</v>
      </c>
      <c r="BK30" s="5" t="s">
        <v>46</v>
      </c>
      <c r="BL30" s="5" t="s">
        <v>623</v>
      </c>
      <c r="BM30" s="5">
        <v>25986176</v>
      </c>
      <c r="BN30" s="5" t="s">
        <v>137</v>
      </c>
      <c r="BO30" s="5" t="s">
        <v>21</v>
      </c>
      <c r="BP30" s="5" t="s">
        <v>21</v>
      </c>
      <c r="BQ30" s="5" t="s">
        <v>49</v>
      </c>
      <c r="BR30" s="5" t="s">
        <v>624</v>
      </c>
      <c r="BS30" s="5" t="str">
        <f>HYPERLINK("https%3A%2F%2Fwww.webofscience.com%2Fwos%2Fwoscc%2Ffull-record%2FWOS:000361430200027","View Full Record in Web of Science")</f>
        <v>View Full Record in Web of Science</v>
      </c>
    </row>
    <row r="31" spans="1:71" x14ac:dyDescent="0.25">
      <c r="A31" t="s">
        <v>19</v>
      </c>
      <c r="B31" s="5" t="s">
        <v>625</v>
      </c>
      <c r="C31" s="5" t="s">
        <v>21</v>
      </c>
      <c r="D31" s="5" t="s">
        <v>21</v>
      </c>
      <c r="E31" s="5" t="s">
        <v>21</v>
      </c>
      <c r="F31" s="5" t="s">
        <v>626</v>
      </c>
      <c r="G31" s="5" t="s">
        <v>21</v>
      </c>
      <c r="H31" s="5" t="s">
        <v>21</v>
      </c>
      <c r="I31" s="5" t="s">
        <v>627</v>
      </c>
      <c r="J31" s="12" t="s">
        <v>24</v>
      </c>
      <c r="K31" s="5" t="s">
        <v>21</v>
      </c>
      <c r="L31" s="5" t="s">
        <v>21</v>
      </c>
      <c r="M31" s="5" t="s">
        <v>25</v>
      </c>
      <c r="N31" s="5" t="s">
        <v>26</v>
      </c>
      <c r="O31" s="5" t="s">
        <v>21</v>
      </c>
      <c r="P31" s="5" t="s">
        <v>21</v>
      </c>
      <c r="Q31" s="5" t="s">
        <v>21</v>
      </c>
      <c r="R31" s="5" t="s">
        <v>21</v>
      </c>
      <c r="S31" s="5" t="s">
        <v>21</v>
      </c>
      <c r="T31" s="5" t="s">
        <v>628</v>
      </c>
      <c r="U31" s="5" t="s">
        <v>629</v>
      </c>
      <c r="V31" s="5" t="s">
        <v>630</v>
      </c>
      <c r="W31" s="5" t="s">
        <v>631</v>
      </c>
      <c r="X31" s="5" t="s">
        <v>632</v>
      </c>
      <c r="Y31" s="5" t="s">
        <v>633</v>
      </c>
      <c r="Z31" s="5" t="s">
        <v>634</v>
      </c>
      <c r="AA31" s="5" t="s">
        <v>635</v>
      </c>
      <c r="AB31" s="5" t="s">
        <v>636</v>
      </c>
      <c r="AC31" s="5" t="s">
        <v>637</v>
      </c>
      <c r="AD31" s="5" t="s">
        <v>638</v>
      </c>
      <c r="AE31" s="5" t="s">
        <v>639</v>
      </c>
      <c r="AF31" s="5">
        <v>34</v>
      </c>
      <c r="AG31" s="5">
        <v>96</v>
      </c>
      <c r="AH31" s="5">
        <v>108</v>
      </c>
      <c r="AI31" s="5">
        <v>1</v>
      </c>
      <c r="AJ31" s="5">
        <v>61</v>
      </c>
      <c r="AK31" s="5" t="s">
        <v>35</v>
      </c>
      <c r="AL31" s="5" t="s">
        <v>36</v>
      </c>
      <c r="AM31" s="5" t="s">
        <v>37</v>
      </c>
      <c r="AN31" s="5" t="s">
        <v>38</v>
      </c>
      <c r="AO31" s="5" t="s">
        <v>39</v>
      </c>
      <c r="AP31" s="5" t="s">
        <v>21</v>
      </c>
      <c r="AQ31" s="5" t="s">
        <v>40</v>
      </c>
      <c r="AR31" s="5" t="s">
        <v>41</v>
      </c>
      <c r="AS31" s="5" t="s">
        <v>116</v>
      </c>
      <c r="AT31" s="5">
        <v>2016</v>
      </c>
      <c r="AU31" s="5">
        <v>46</v>
      </c>
      <c r="AV31" s="5">
        <v>9</v>
      </c>
      <c r="AW31" s="5" t="s">
        <v>21</v>
      </c>
      <c r="AX31" s="5" t="s">
        <v>21</v>
      </c>
      <c r="AY31" s="5" t="s">
        <v>21</v>
      </c>
      <c r="AZ31" s="5" t="s">
        <v>21</v>
      </c>
      <c r="BA31" s="5">
        <v>3166</v>
      </c>
      <c r="BB31" s="5">
        <v>3176</v>
      </c>
      <c r="BC31" s="5" t="s">
        <v>21</v>
      </c>
      <c r="BD31" s="5" t="s">
        <v>640</v>
      </c>
      <c r="BE31" s="5" t="str">
        <f>HYPERLINK("http://dx.doi.org/10.1007/s10803-016-2830-5","http://dx.doi.org/10.1007/s10803-016-2830-5")</f>
        <v>http://dx.doi.org/10.1007/s10803-016-2830-5</v>
      </c>
      <c r="BF31" s="5" t="s">
        <v>21</v>
      </c>
      <c r="BG31" s="5" t="s">
        <v>21</v>
      </c>
      <c r="BH31" s="5">
        <v>11</v>
      </c>
      <c r="BI31" s="5" t="s">
        <v>44</v>
      </c>
      <c r="BJ31" s="5" t="s">
        <v>45</v>
      </c>
      <c r="BK31" s="5" t="s">
        <v>46</v>
      </c>
      <c r="BL31" s="5" t="s">
        <v>641</v>
      </c>
      <c r="BM31" s="5">
        <v>27272115</v>
      </c>
      <c r="BN31" s="5" t="s">
        <v>21</v>
      </c>
      <c r="BO31" s="5" t="s">
        <v>21</v>
      </c>
      <c r="BP31" s="5" t="s">
        <v>21</v>
      </c>
      <c r="BQ31" s="5" t="s">
        <v>49</v>
      </c>
      <c r="BR31" s="5" t="s">
        <v>642</v>
      </c>
      <c r="BS31" s="5" t="str">
        <f>HYPERLINK("https%3A%2F%2Fwww.webofscience.com%2Fwos%2Fwoscc%2Ffull-record%2FWOS:000381266800026","View Full Record in Web of Science")</f>
        <v>View Full Record in Web of Science</v>
      </c>
    </row>
    <row r="32" spans="1:71" x14ac:dyDescent="0.25">
      <c r="A32" t="s">
        <v>19</v>
      </c>
      <c r="B32" s="5" t="s">
        <v>643</v>
      </c>
      <c r="C32" s="5" t="s">
        <v>21</v>
      </c>
      <c r="D32" s="5" t="s">
        <v>21</v>
      </c>
      <c r="E32" s="5" t="s">
        <v>21</v>
      </c>
      <c r="F32" s="5" t="s">
        <v>644</v>
      </c>
      <c r="G32" s="5" t="s">
        <v>21</v>
      </c>
      <c r="H32" s="5" t="s">
        <v>21</v>
      </c>
      <c r="I32" s="5" t="s">
        <v>645</v>
      </c>
      <c r="J32" s="12" t="s">
        <v>646</v>
      </c>
      <c r="K32" s="5" t="s">
        <v>21</v>
      </c>
      <c r="L32" s="5" t="s">
        <v>21</v>
      </c>
      <c r="M32" s="5" t="s">
        <v>25</v>
      </c>
      <c r="N32" s="5" t="s">
        <v>26</v>
      </c>
      <c r="O32" s="5" t="s">
        <v>21</v>
      </c>
      <c r="P32" s="5" t="s">
        <v>21</v>
      </c>
      <c r="Q32" s="5" t="s">
        <v>21</v>
      </c>
      <c r="R32" s="5" t="s">
        <v>21</v>
      </c>
      <c r="S32" s="5" t="s">
        <v>21</v>
      </c>
      <c r="T32" s="5" t="s">
        <v>647</v>
      </c>
      <c r="U32" s="5" t="s">
        <v>648</v>
      </c>
      <c r="V32" s="5" t="s">
        <v>649</v>
      </c>
      <c r="W32" s="5" t="s">
        <v>650</v>
      </c>
      <c r="X32" s="5" t="s">
        <v>651</v>
      </c>
      <c r="Y32" s="5" t="s">
        <v>652</v>
      </c>
      <c r="Z32" s="5" t="s">
        <v>653</v>
      </c>
      <c r="AA32" s="5" t="s">
        <v>654</v>
      </c>
      <c r="AB32" s="5" t="s">
        <v>655</v>
      </c>
      <c r="AC32" s="5" t="s">
        <v>656</v>
      </c>
      <c r="AD32" s="5" t="s">
        <v>657</v>
      </c>
      <c r="AE32" s="5" t="s">
        <v>658</v>
      </c>
      <c r="AF32" s="5">
        <v>35</v>
      </c>
      <c r="AG32" s="5">
        <v>92</v>
      </c>
      <c r="AH32" s="5">
        <v>100</v>
      </c>
      <c r="AI32" s="5">
        <v>10</v>
      </c>
      <c r="AJ32" s="5">
        <v>143</v>
      </c>
      <c r="AK32" s="5" t="s">
        <v>659</v>
      </c>
      <c r="AL32" s="5" t="s">
        <v>660</v>
      </c>
      <c r="AM32" s="5" t="s">
        <v>661</v>
      </c>
      <c r="AN32" s="5" t="s">
        <v>662</v>
      </c>
      <c r="AO32" s="5" t="s">
        <v>663</v>
      </c>
      <c r="AP32" s="5" t="s">
        <v>21</v>
      </c>
      <c r="AQ32" s="5" t="s">
        <v>664</v>
      </c>
      <c r="AR32" s="5" t="s">
        <v>665</v>
      </c>
      <c r="AS32" s="5" t="s">
        <v>42</v>
      </c>
      <c r="AT32" s="5">
        <v>2013</v>
      </c>
      <c r="AU32" s="5">
        <v>21</v>
      </c>
      <c r="AV32" s="5">
        <v>1</v>
      </c>
      <c r="AW32" s="5" t="s">
        <v>21</v>
      </c>
      <c r="AX32" s="5" t="s">
        <v>21</v>
      </c>
      <c r="AY32" s="5" t="s">
        <v>21</v>
      </c>
      <c r="AZ32" s="5" t="s">
        <v>21</v>
      </c>
      <c r="BA32" s="5">
        <v>55</v>
      </c>
      <c r="BB32" s="5">
        <v>64</v>
      </c>
      <c r="BC32" s="5" t="s">
        <v>21</v>
      </c>
      <c r="BD32" s="5" t="s">
        <v>666</v>
      </c>
      <c r="BE32" s="5" t="str">
        <f>HYPERLINK("http://dx.doi.org/10.1109/TNSRE.2012.2218618","http://dx.doi.org/10.1109/TNSRE.2012.2218618")</f>
        <v>http://dx.doi.org/10.1109/TNSRE.2012.2218618</v>
      </c>
      <c r="BF32" s="5" t="s">
        <v>21</v>
      </c>
      <c r="BG32" s="5" t="s">
        <v>21</v>
      </c>
      <c r="BH32" s="5">
        <v>10</v>
      </c>
      <c r="BI32" s="5" t="s">
        <v>667</v>
      </c>
      <c r="BJ32" s="5" t="s">
        <v>92</v>
      </c>
      <c r="BK32" s="5" t="s">
        <v>668</v>
      </c>
      <c r="BL32" s="5" t="s">
        <v>669</v>
      </c>
      <c r="BM32" s="5">
        <v>23033333</v>
      </c>
      <c r="BN32" s="5" t="s">
        <v>137</v>
      </c>
      <c r="BO32" s="5" t="s">
        <v>21</v>
      </c>
      <c r="BP32" s="5" t="s">
        <v>21</v>
      </c>
      <c r="BQ32" s="5" t="s">
        <v>49</v>
      </c>
      <c r="BR32" s="5" t="s">
        <v>670</v>
      </c>
      <c r="BS32" s="5" t="str">
        <f>HYPERLINK("https%3A%2F%2Fwww.webofscience.com%2Fwos%2Fwoscc%2Ffull-record%2FWOS:000313423200007","View Full Record in Web of Science")</f>
        <v>View Full Record in Web of Science</v>
      </c>
    </row>
    <row r="33" spans="1:71" x14ac:dyDescent="0.25">
      <c r="A33" t="s">
        <v>19</v>
      </c>
      <c r="B33" s="5" t="s">
        <v>671</v>
      </c>
      <c r="C33" s="5" t="s">
        <v>21</v>
      </c>
      <c r="D33" s="5" t="s">
        <v>21</v>
      </c>
      <c r="E33" s="5" t="s">
        <v>21</v>
      </c>
      <c r="F33" s="5" t="s">
        <v>672</v>
      </c>
      <c r="G33" s="5" t="s">
        <v>21</v>
      </c>
      <c r="H33" s="5" t="s">
        <v>21</v>
      </c>
      <c r="I33" s="5" t="s">
        <v>673</v>
      </c>
      <c r="J33" s="12" t="s">
        <v>674</v>
      </c>
      <c r="K33" s="5" t="s">
        <v>21</v>
      </c>
      <c r="L33" s="5" t="s">
        <v>21</v>
      </c>
      <c r="M33" s="5" t="s">
        <v>25</v>
      </c>
      <c r="N33" s="5" t="s">
        <v>26</v>
      </c>
      <c r="O33" s="5" t="s">
        <v>21</v>
      </c>
      <c r="P33" s="5" t="s">
        <v>21</v>
      </c>
      <c r="Q33" s="5" t="s">
        <v>21</v>
      </c>
      <c r="R33" s="5" t="s">
        <v>21</v>
      </c>
      <c r="S33" s="5" t="s">
        <v>21</v>
      </c>
      <c r="T33" s="5" t="s">
        <v>675</v>
      </c>
      <c r="U33" s="5" t="s">
        <v>676</v>
      </c>
      <c r="V33" s="5" t="s">
        <v>677</v>
      </c>
      <c r="W33" s="5" t="s">
        <v>678</v>
      </c>
      <c r="X33" s="5" t="s">
        <v>679</v>
      </c>
      <c r="Y33" s="5" t="s">
        <v>680</v>
      </c>
      <c r="Z33" s="5" t="s">
        <v>681</v>
      </c>
      <c r="AA33" s="5" t="s">
        <v>682</v>
      </c>
      <c r="AB33" s="5" t="s">
        <v>683</v>
      </c>
      <c r="AC33" s="5" t="s">
        <v>21</v>
      </c>
      <c r="AD33" s="5" t="s">
        <v>21</v>
      </c>
      <c r="AE33" s="5" t="s">
        <v>21</v>
      </c>
      <c r="AF33" s="5">
        <v>141</v>
      </c>
      <c r="AG33" s="5">
        <v>90</v>
      </c>
      <c r="AH33" s="5">
        <v>97</v>
      </c>
      <c r="AI33" s="5">
        <v>14</v>
      </c>
      <c r="AJ33" s="5">
        <v>124</v>
      </c>
      <c r="AK33" s="5" t="s">
        <v>684</v>
      </c>
      <c r="AL33" s="5" t="s">
        <v>685</v>
      </c>
      <c r="AM33" s="5" t="s">
        <v>686</v>
      </c>
      <c r="AN33" s="5" t="s">
        <v>687</v>
      </c>
      <c r="AO33" s="5" t="s">
        <v>21</v>
      </c>
      <c r="AP33" s="5" t="s">
        <v>21</v>
      </c>
      <c r="AQ33" s="5" t="s">
        <v>688</v>
      </c>
      <c r="AR33" s="5" t="s">
        <v>689</v>
      </c>
      <c r="AS33" s="5" t="s">
        <v>690</v>
      </c>
      <c r="AT33" s="5">
        <v>2018</v>
      </c>
      <c r="AU33" s="5">
        <v>11</v>
      </c>
      <c r="AV33" s="5">
        <v>2</v>
      </c>
      <c r="AW33" s="5" t="s">
        <v>21</v>
      </c>
      <c r="AX33" s="5" t="s">
        <v>21</v>
      </c>
      <c r="AY33" s="5" t="s">
        <v>21</v>
      </c>
      <c r="AZ33" s="5" t="s">
        <v>21</v>
      </c>
      <c r="BA33" s="5">
        <v>133</v>
      </c>
      <c r="BB33" s="5">
        <v>151</v>
      </c>
      <c r="BC33" s="5" t="s">
        <v>21</v>
      </c>
      <c r="BD33" s="5" t="s">
        <v>691</v>
      </c>
      <c r="BE33" s="5" t="str">
        <f>HYPERLINK("http://dx.doi.org/10.1109/TLT.2017.2739747","http://dx.doi.org/10.1109/TLT.2017.2739747")</f>
        <v>http://dx.doi.org/10.1109/TLT.2017.2739747</v>
      </c>
      <c r="BF33" s="5" t="s">
        <v>21</v>
      </c>
      <c r="BG33" s="5" t="s">
        <v>21</v>
      </c>
      <c r="BH33" s="5">
        <v>19</v>
      </c>
      <c r="BI33" s="5" t="s">
        <v>292</v>
      </c>
      <c r="BJ33" s="5" t="s">
        <v>92</v>
      </c>
      <c r="BK33" s="5" t="s">
        <v>293</v>
      </c>
      <c r="BL33" s="5" t="s">
        <v>692</v>
      </c>
      <c r="BM33" s="5" t="s">
        <v>21</v>
      </c>
      <c r="BN33" s="5" t="s">
        <v>21</v>
      </c>
      <c r="BO33" s="5" t="s">
        <v>21</v>
      </c>
      <c r="BP33" s="5" t="s">
        <v>21</v>
      </c>
      <c r="BQ33" s="5" t="s">
        <v>49</v>
      </c>
      <c r="BR33" s="5" t="s">
        <v>693</v>
      </c>
      <c r="BS33" s="5" t="str">
        <f>HYPERLINK("https%3A%2F%2Fwww.webofscience.com%2Fwos%2Fwoscc%2Ffull-record%2FWOS:000435996300002","View Full Record in Web of Science")</f>
        <v>View Full Record in Web of Science</v>
      </c>
    </row>
    <row r="34" spans="1:71" x14ac:dyDescent="0.25">
      <c r="A34" t="s">
        <v>19</v>
      </c>
      <c r="B34" s="5" t="s">
        <v>694</v>
      </c>
      <c r="C34" s="5" t="s">
        <v>21</v>
      </c>
      <c r="D34" s="5" t="s">
        <v>21</v>
      </c>
      <c r="E34" s="5" t="s">
        <v>21</v>
      </c>
      <c r="F34" s="5" t="s">
        <v>695</v>
      </c>
      <c r="G34" s="5" t="s">
        <v>21</v>
      </c>
      <c r="H34" s="5" t="s">
        <v>21</v>
      </c>
      <c r="I34" s="5" t="s">
        <v>696</v>
      </c>
      <c r="J34" s="12" t="s">
        <v>697</v>
      </c>
      <c r="K34" s="5" t="s">
        <v>21</v>
      </c>
      <c r="L34" s="5" t="s">
        <v>21</v>
      </c>
      <c r="M34" s="5" t="s">
        <v>25</v>
      </c>
      <c r="N34" s="5" t="s">
        <v>26</v>
      </c>
      <c r="O34" s="5" t="s">
        <v>21</v>
      </c>
      <c r="P34" s="5" t="s">
        <v>21</v>
      </c>
      <c r="Q34" s="5" t="s">
        <v>21</v>
      </c>
      <c r="R34" s="5" t="s">
        <v>21</v>
      </c>
      <c r="S34" s="5" t="s">
        <v>21</v>
      </c>
      <c r="T34" s="5" t="s">
        <v>698</v>
      </c>
      <c r="U34" s="5" t="s">
        <v>699</v>
      </c>
      <c r="V34" s="5" t="s">
        <v>700</v>
      </c>
      <c r="W34" s="5" t="s">
        <v>701</v>
      </c>
      <c r="X34" s="5" t="s">
        <v>702</v>
      </c>
      <c r="Y34" s="5" t="s">
        <v>703</v>
      </c>
      <c r="Z34" s="5" t="s">
        <v>704</v>
      </c>
      <c r="AA34" s="5" t="s">
        <v>705</v>
      </c>
      <c r="AB34" s="5" t="s">
        <v>706</v>
      </c>
      <c r="AC34" s="5" t="s">
        <v>707</v>
      </c>
      <c r="AD34" s="5" t="s">
        <v>708</v>
      </c>
      <c r="AE34" s="5" t="s">
        <v>709</v>
      </c>
      <c r="AF34" s="5">
        <v>66</v>
      </c>
      <c r="AG34" s="5">
        <v>87</v>
      </c>
      <c r="AH34" s="5">
        <v>96</v>
      </c>
      <c r="AI34" s="5">
        <v>7</v>
      </c>
      <c r="AJ34" s="5">
        <v>107</v>
      </c>
      <c r="AK34" s="5" t="s">
        <v>659</v>
      </c>
      <c r="AL34" s="5" t="s">
        <v>660</v>
      </c>
      <c r="AM34" s="5" t="s">
        <v>661</v>
      </c>
      <c r="AN34" s="5" t="s">
        <v>710</v>
      </c>
      <c r="AO34" s="5" t="s">
        <v>21</v>
      </c>
      <c r="AP34" s="5" t="s">
        <v>21</v>
      </c>
      <c r="AQ34" s="5" t="s">
        <v>711</v>
      </c>
      <c r="AR34" s="5" t="s">
        <v>712</v>
      </c>
      <c r="AS34" s="5" t="s">
        <v>690</v>
      </c>
      <c r="AT34" s="5">
        <v>2017</v>
      </c>
      <c r="AU34" s="5">
        <v>8</v>
      </c>
      <c r="AV34" s="5">
        <v>2</v>
      </c>
      <c r="AW34" s="5" t="s">
        <v>21</v>
      </c>
      <c r="AX34" s="5" t="s">
        <v>21</v>
      </c>
      <c r="AY34" s="5" t="s">
        <v>21</v>
      </c>
      <c r="AZ34" s="5" t="s">
        <v>21</v>
      </c>
      <c r="BA34" s="5">
        <v>176</v>
      </c>
      <c r="BB34" s="5">
        <v>189</v>
      </c>
      <c r="BC34" s="5" t="s">
        <v>21</v>
      </c>
      <c r="BD34" s="5" t="s">
        <v>713</v>
      </c>
      <c r="BE34" s="5" t="str">
        <f>HYPERLINK("http://dx.doi.org/10.1109/TAFFC.2016.2582490","http://dx.doi.org/10.1109/TAFFC.2016.2582490")</f>
        <v>http://dx.doi.org/10.1109/TAFFC.2016.2582490</v>
      </c>
      <c r="BF34" s="5" t="s">
        <v>21</v>
      </c>
      <c r="BG34" s="5" t="s">
        <v>21</v>
      </c>
      <c r="BH34" s="5">
        <v>14</v>
      </c>
      <c r="BI34" s="5" t="s">
        <v>714</v>
      </c>
      <c r="BJ34" s="5" t="s">
        <v>92</v>
      </c>
      <c r="BK34" s="5" t="s">
        <v>715</v>
      </c>
      <c r="BL34" s="5" t="s">
        <v>716</v>
      </c>
      <c r="BM34" s="5">
        <v>28966730</v>
      </c>
      <c r="BN34" s="5" t="s">
        <v>717</v>
      </c>
      <c r="BO34" s="5" t="s">
        <v>21</v>
      </c>
      <c r="BP34" s="5" t="s">
        <v>21</v>
      </c>
      <c r="BQ34" s="5" t="s">
        <v>49</v>
      </c>
      <c r="BR34" s="5" t="s">
        <v>718</v>
      </c>
      <c r="BS34" s="5" t="str">
        <f>HYPERLINK("https%3A%2F%2Fwww.webofscience.com%2Fwos%2Fwoscc%2Ffull-record%2FWOS:000402709900004","View Full Record in Web of Science")</f>
        <v>View Full Record in Web of Science</v>
      </c>
    </row>
    <row r="35" spans="1:71" x14ac:dyDescent="0.25">
      <c r="A35" t="s">
        <v>19</v>
      </c>
      <c r="B35" s="5" t="s">
        <v>719</v>
      </c>
      <c r="C35" s="5" t="s">
        <v>21</v>
      </c>
      <c r="D35" s="5" t="s">
        <v>21</v>
      </c>
      <c r="E35" s="5" t="s">
        <v>21</v>
      </c>
      <c r="F35" s="5" t="s">
        <v>720</v>
      </c>
      <c r="G35" s="5" t="s">
        <v>21</v>
      </c>
      <c r="H35" s="5" t="s">
        <v>21</v>
      </c>
      <c r="I35" s="5" t="s">
        <v>721</v>
      </c>
      <c r="J35" s="12" t="s">
        <v>722</v>
      </c>
      <c r="K35" s="5" t="s">
        <v>21</v>
      </c>
      <c r="L35" s="5" t="s">
        <v>21</v>
      </c>
      <c r="M35" s="5" t="s">
        <v>25</v>
      </c>
      <c r="N35" s="5" t="s">
        <v>26</v>
      </c>
      <c r="O35" s="5" t="s">
        <v>21</v>
      </c>
      <c r="P35" s="5" t="s">
        <v>21</v>
      </c>
      <c r="Q35" s="5" t="s">
        <v>21</v>
      </c>
      <c r="R35" s="5" t="s">
        <v>21</v>
      </c>
      <c r="S35" s="5" t="s">
        <v>21</v>
      </c>
      <c r="T35" s="5" t="s">
        <v>723</v>
      </c>
      <c r="U35" s="5" t="s">
        <v>724</v>
      </c>
      <c r="V35" s="5" t="s">
        <v>725</v>
      </c>
      <c r="W35" s="5" t="s">
        <v>726</v>
      </c>
      <c r="X35" s="5" t="s">
        <v>727</v>
      </c>
      <c r="Y35" s="5" t="s">
        <v>728</v>
      </c>
      <c r="Z35" s="5" t="s">
        <v>729</v>
      </c>
      <c r="AA35" s="5" t="s">
        <v>21</v>
      </c>
      <c r="AB35" s="5" t="s">
        <v>21</v>
      </c>
      <c r="AC35" s="5" t="s">
        <v>730</v>
      </c>
      <c r="AD35" s="5" t="s">
        <v>731</v>
      </c>
      <c r="AE35" s="5" t="s">
        <v>732</v>
      </c>
      <c r="AF35" s="5">
        <v>55</v>
      </c>
      <c r="AG35" s="5">
        <v>85</v>
      </c>
      <c r="AH35" s="5">
        <v>89</v>
      </c>
      <c r="AI35" s="5">
        <v>8</v>
      </c>
      <c r="AJ35" s="5">
        <v>91</v>
      </c>
      <c r="AK35" s="5" t="s">
        <v>733</v>
      </c>
      <c r="AL35" s="5" t="s">
        <v>734</v>
      </c>
      <c r="AM35" s="5" t="s">
        <v>735</v>
      </c>
      <c r="AN35" s="5" t="s">
        <v>736</v>
      </c>
      <c r="AO35" s="5" t="s">
        <v>737</v>
      </c>
      <c r="AP35" s="5" t="s">
        <v>21</v>
      </c>
      <c r="AQ35" s="5" t="s">
        <v>738</v>
      </c>
      <c r="AR35" s="5" t="s">
        <v>739</v>
      </c>
      <c r="AS35" s="5" t="s">
        <v>269</v>
      </c>
      <c r="AT35" s="5">
        <v>2015</v>
      </c>
      <c r="AU35" s="5">
        <v>30</v>
      </c>
      <c r="AV35" s="5">
        <v>4</v>
      </c>
      <c r="AW35" s="5" t="s">
        <v>21</v>
      </c>
      <c r="AX35" s="5" t="s">
        <v>21</v>
      </c>
      <c r="AY35" s="5" t="s">
        <v>21</v>
      </c>
      <c r="AZ35" s="5" t="s">
        <v>21</v>
      </c>
      <c r="BA35" s="5">
        <v>222</v>
      </c>
      <c r="BB35" s="5">
        <v>236</v>
      </c>
      <c r="BC35" s="5" t="s">
        <v>21</v>
      </c>
      <c r="BD35" s="5" t="s">
        <v>740</v>
      </c>
      <c r="BE35" s="5" t="str">
        <f>HYPERLINK("http://dx.doi.org/10.1177/1088357615583473","http://dx.doi.org/10.1177/1088357615583473")</f>
        <v>http://dx.doi.org/10.1177/1088357615583473</v>
      </c>
      <c r="BF35" s="5" t="s">
        <v>21</v>
      </c>
      <c r="BG35" s="5" t="s">
        <v>21</v>
      </c>
      <c r="BH35" s="5">
        <v>15</v>
      </c>
      <c r="BI35" s="5" t="s">
        <v>741</v>
      </c>
      <c r="BJ35" s="5" t="s">
        <v>45</v>
      </c>
      <c r="BK35" s="5" t="s">
        <v>742</v>
      </c>
      <c r="BL35" s="5" t="s">
        <v>743</v>
      </c>
      <c r="BM35" s="5" t="s">
        <v>21</v>
      </c>
      <c r="BN35" s="5" t="s">
        <v>21</v>
      </c>
      <c r="BO35" s="5" t="s">
        <v>21</v>
      </c>
      <c r="BP35" s="5" t="s">
        <v>21</v>
      </c>
      <c r="BQ35" s="5" t="s">
        <v>49</v>
      </c>
      <c r="BR35" s="5" t="s">
        <v>744</v>
      </c>
      <c r="BS35" s="5" t="str">
        <f>HYPERLINK("https%3A%2F%2Fwww.webofscience.com%2Fwos%2Fwoscc%2Ffull-record%2FWOS:000364194000003","View Full Record in Web of Science")</f>
        <v>View Full Record in Web of Science</v>
      </c>
    </row>
    <row r="36" spans="1:71" x14ac:dyDescent="0.25">
      <c r="A36" t="s">
        <v>19</v>
      </c>
      <c r="B36" s="5" t="s">
        <v>745</v>
      </c>
      <c r="C36" s="5" t="s">
        <v>21</v>
      </c>
      <c r="D36" s="5" t="s">
        <v>21</v>
      </c>
      <c r="E36" s="5" t="s">
        <v>21</v>
      </c>
      <c r="F36" s="5" t="s">
        <v>746</v>
      </c>
      <c r="G36" s="5" t="s">
        <v>21</v>
      </c>
      <c r="H36" s="5" t="s">
        <v>21</v>
      </c>
      <c r="I36" s="5" t="s">
        <v>747</v>
      </c>
      <c r="J36" s="12" t="s">
        <v>54</v>
      </c>
      <c r="K36" s="5" t="s">
        <v>21</v>
      </c>
      <c r="L36" s="5" t="s">
        <v>21</v>
      </c>
      <c r="M36" s="5" t="s">
        <v>25</v>
      </c>
      <c r="N36" s="5" t="s">
        <v>26</v>
      </c>
      <c r="O36" s="5" t="s">
        <v>21</v>
      </c>
      <c r="P36" s="5" t="s">
        <v>21</v>
      </c>
      <c r="Q36" s="5" t="s">
        <v>21</v>
      </c>
      <c r="R36" s="5" t="s">
        <v>21</v>
      </c>
      <c r="S36" s="5" t="s">
        <v>21</v>
      </c>
      <c r="T36" s="5" t="s">
        <v>748</v>
      </c>
      <c r="U36" s="5" t="s">
        <v>749</v>
      </c>
      <c r="V36" s="5" t="s">
        <v>750</v>
      </c>
      <c r="W36" s="5" t="s">
        <v>751</v>
      </c>
      <c r="X36" s="5" t="s">
        <v>752</v>
      </c>
      <c r="Y36" s="5" t="s">
        <v>753</v>
      </c>
      <c r="Z36" s="5" t="s">
        <v>754</v>
      </c>
      <c r="AA36" s="5" t="s">
        <v>755</v>
      </c>
      <c r="AB36" s="5" t="s">
        <v>756</v>
      </c>
      <c r="AC36" s="5" t="s">
        <v>21</v>
      </c>
      <c r="AD36" s="5" t="s">
        <v>21</v>
      </c>
      <c r="AE36" s="5" t="s">
        <v>21</v>
      </c>
      <c r="AF36" s="5">
        <v>27</v>
      </c>
      <c r="AG36" s="5">
        <v>85</v>
      </c>
      <c r="AH36" s="5">
        <v>104</v>
      </c>
      <c r="AI36" s="5">
        <v>4</v>
      </c>
      <c r="AJ36" s="5">
        <v>32</v>
      </c>
      <c r="AK36" s="5" t="s">
        <v>63</v>
      </c>
      <c r="AL36" s="5" t="s">
        <v>64</v>
      </c>
      <c r="AM36" s="5" t="s">
        <v>65</v>
      </c>
      <c r="AN36" s="5" t="s">
        <v>66</v>
      </c>
      <c r="AO36" s="5" t="s">
        <v>67</v>
      </c>
      <c r="AP36" s="5" t="s">
        <v>21</v>
      </c>
      <c r="AQ36" s="5" t="s">
        <v>54</v>
      </c>
      <c r="AR36" s="5" t="s">
        <v>68</v>
      </c>
      <c r="AS36" s="5" t="s">
        <v>176</v>
      </c>
      <c r="AT36" s="5">
        <v>2008</v>
      </c>
      <c r="AU36" s="5">
        <v>12</v>
      </c>
      <c r="AV36" s="5">
        <v>2</v>
      </c>
      <c r="AW36" s="5" t="s">
        <v>21</v>
      </c>
      <c r="AX36" s="5" t="s">
        <v>21</v>
      </c>
      <c r="AY36" s="5" t="s">
        <v>21</v>
      </c>
      <c r="AZ36" s="5" t="s">
        <v>21</v>
      </c>
      <c r="BA36" s="5">
        <v>143</v>
      </c>
      <c r="BB36" s="5">
        <v>157</v>
      </c>
      <c r="BC36" s="5" t="s">
        <v>21</v>
      </c>
      <c r="BD36" s="5" t="s">
        <v>757</v>
      </c>
      <c r="BE36" s="5" t="str">
        <f>HYPERLINK("http://dx.doi.org/10.1177/1362361307086657","http://dx.doi.org/10.1177/1362361307086657")</f>
        <v>http://dx.doi.org/10.1177/1362361307086657</v>
      </c>
      <c r="BF36" s="5" t="s">
        <v>21</v>
      </c>
      <c r="BG36" s="5" t="s">
        <v>21</v>
      </c>
      <c r="BH36" s="5">
        <v>15</v>
      </c>
      <c r="BI36" s="5" t="s">
        <v>44</v>
      </c>
      <c r="BJ36" s="5" t="s">
        <v>45</v>
      </c>
      <c r="BK36" s="5" t="s">
        <v>46</v>
      </c>
      <c r="BL36" s="5" t="s">
        <v>758</v>
      </c>
      <c r="BM36" s="5">
        <v>18308764</v>
      </c>
      <c r="BN36" s="5" t="s">
        <v>21</v>
      </c>
      <c r="BO36" s="5" t="s">
        <v>21</v>
      </c>
      <c r="BP36" s="5" t="s">
        <v>21</v>
      </c>
      <c r="BQ36" s="5" t="s">
        <v>49</v>
      </c>
      <c r="BR36" s="5" t="s">
        <v>759</v>
      </c>
      <c r="BS36" s="5" t="str">
        <f>HYPERLINK("https%3A%2F%2Fwww.webofscience.com%2Fwos%2Fwoscc%2Ffull-record%2FWOS:000255126000003","View Full Record in Web of Science")</f>
        <v>View Full Record in Web of Science</v>
      </c>
    </row>
    <row r="37" spans="1:71" x14ac:dyDescent="0.25">
      <c r="A37" t="s">
        <v>19</v>
      </c>
      <c r="B37" s="5" t="s">
        <v>760</v>
      </c>
      <c r="C37" s="5" t="s">
        <v>21</v>
      </c>
      <c r="D37" s="5" t="s">
        <v>21</v>
      </c>
      <c r="E37" s="5" t="s">
        <v>21</v>
      </c>
      <c r="F37" s="5" t="s">
        <v>761</v>
      </c>
      <c r="G37" s="5" t="s">
        <v>21</v>
      </c>
      <c r="H37" s="5" t="s">
        <v>21</v>
      </c>
      <c r="I37" s="5" t="s">
        <v>762</v>
      </c>
      <c r="J37" s="12" t="s">
        <v>763</v>
      </c>
      <c r="K37" s="5" t="s">
        <v>21</v>
      </c>
      <c r="L37" s="5" t="s">
        <v>21</v>
      </c>
      <c r="M37" s="5" t="s">
        <v>25</v>
      </c>
      <c r="N37" s="5" t="s">
        <v>236</v>
      </c>
      <c r="O37" s="5" t="s">
        <v>764</v>
      </c>
      <c r="P37" s="5" t="s">
        <v>765</v>
      </c>
      <c r="Q37" s="5" t="s">
        <v>766</v>
      </c>
      <c r="R37" s="5" t="s">
        <v>767</v>
      </c>
      <c r="S37" s="5" t="s">
        <v>21</v>
      </c>
      <c r="T37" s="5" t="s">
        <v>768</v>
      </c>
      <c r="U37" s="5" t="s">
        <v>769</v>
      </c>
      <c r="V37" s="5" t="s">
        <v>770</v>
      </c>
      <c r="W37" s="5" t="s">
        <v>771</v>
      </c>
      <c r="X37" s="5" t="s">
        <v>702</v>
      </c>
      <c r="Y37" s="5" t="s">
        <v>772</v>
      </c>
      <c r="Z37" s="5" t="s">
        <v>773</v>
      </c>
      <c r="AA37" s="5" t="s">
        <v>774</v>
      </c>
      <c r="AB37" s="5" t="s">
        <v>775</v>
      </c>
      <c r="AC37" s="5" t="s">
        <v>776</v>
      </c>
      <c r="AD37" s="5" t="s">
        <v>777</v>
      </c>
      <c r="AE37" s="5" t="s">
        <v>21</v>
      </c>
      <c r="AF37" s="5">
        <v>44</v>
      </c>
      <c r="AG37" s="5">
        <v>81</v>
      </c>
      <c r="AH37" s="5">
        <v>93</v>
      </c>
      <c r="AI37" s="5">
        <v>5</v>
      </c>
      <c r="AJ37" s="5">
        <v>172</v>
      </c>
      <c r="AK37" s="5" t="s">
        <v>684</v>
      </c>
      <c r="AL37" s="5" t="s">
        <v>685</v>
      </c>
      <c r="AM37" s="5" t="s">
        <v>686</v>
      </c>
      <c r="AN37" s="5" t="s">
        <v>778</v>
      </c>
      <c r="AO37" s="5" t="s">
        <v>779</v>
      </c>
      <c r="AP37" s="5" t="s">
        <v>21</v>
      </c>
      <c r="AQ37" s="5" t="s">
        <v>780</v>
      </c>
      <c r="AR37" s="5" t="s">
        <v>781</v>
      </c>
      <c r="AS37" s="5" t="s">
        <v>782</v>
      </c>
      <c r="AT37" s="5">
        <v>2013</v>
      </c>
      <c r="AU37" s="5">
        <v>19</v>
      </c>
      <c r="AV37" s="5">
        <v>4</v>
      </c>
      <c r="AW37" s="5" t="s">
        <v>21</v>
      </c>
      <c r="AX37" s="5" t="s">
        <v>21</v>
      </c>
      <c r="AY37" s="5" t="s">
        <v>21</v>
      </c>
      <c r="AZ37" s="5" t="s">
        <v>21</v>
      </c>
      <c r="BA37" s="5">
        <v>711</v>
      </c>
      <c r="BB37" s="5">
        <v>720</v>
      </c>
      <c r="BC37" s="5" t="s">
        <v>21</v>
      </c>
      <c r="BD37" s="5" t="s">
        <v>783</v>
      </c>
      <c r="BE37" s="5" t="str">
        <f>HYPERLINK("http://dx.doi.org/10.1109/TVCG.2013.42","http://dx.doi.org/10.1109/TVCG.2013.42")</f>
        <v>http://dx.doi.org/10.1109/TVCG.2013.42</v>
      </c>
      <c r="BF37" s="5" t="s">
        <v>21</v>
      </c>
      <c r="BG37" s="5" t="s">
        <v>21</v>
      </c>
      <c r="BH37" s="5">
        <v>10</v>
      </c>
      <c r="BI37" s="5" t="s">
        <v>784</v>
      </c>
      <c r="BJ37" s="5" t="s">
        <v>785</v>
      </c>
      <c r="BK37" s="5" t="s">
        <v>715</v>
      </c>
      <c r="BL37" s="5" t="s">
        <v>786</v>
      </c>
      <c r="BM37" s="5">
        <v>23428456</v>
      </c>
      <c r="BN37" s="5" t="s">
        <v>137</v>
      </c>
      <c r="BO37" s="5" t="s">
        <v>21</v>
      </c>
      <c r="BP37" s="5" t="s">
        <v>21</v>
      </c>
      <c r="BQ37" s="5" t="s">
        <v>49</v>
      </c>
      <c r="BR37" s="5" t="s">
        <v>787</v>
      </c>
      <c r="BS37" s="5" t="str">
        <f>HYPERLINK("https%3A%2F%2Fwww.webofscience.com%2Fwos%2Fwoscc%2Ffull-record%2FWOS:000316409700026","View Full Record in Web of Science")</f>
        <v>View Full Record in Web of Science</v>
      </c>
    </row>
    <row r="38" spans="1:71" x14ac:dyDescent="0.25">
      <c r="A38" t="s">
        <v>19</v>
      </c>
      <c r="B38" s="5" t="s">
        <v>788</v>
      </c>
      <c r="C38" s="5" t="s">
        <v>21</v>
      </c>
      <c r="D38" s="5" t="s">
        <v>21</v>
      </c>
      <c r="E38" s="5" t="s">
        <v>21</v>
      </c>
      <c r="F38" s="5" t="s">
        <v>789</v>
      </c>
      <c r="G38" s="5" t="s">
        <v>21</v>
      </c>
      <c r="H38" s="5" t="s">
        <v>21</v>
      </c>
      <c r="I38" s="5" t="s">
        <v>790</v>
      </c>
      <c r="J38" s="12" t="s">
        <v>646</v>
      </c>
      <c r="K38" s="5" t="s">
        <v>21</v>
      </c>
      <c r="L38" s="5" t="s">
        <v>21</v>
      </c>
      <c r="M38" s="5" t="s">
        <v>25</v>
      </c>
      <c r="N38" s="5" t="s">
        <v>26</v>
      </c>
      <c r="O38" s="5" t="s">
        <v>21</v>
      </c>
      <c r="P38" s="5" t="s">
        <v>21</v>
      </c>
      <c r="Q38" s="5" t="s">
        <v>21</v>
      </c>
      <c r="R38" s="5" t="s">
        <v>21</v>
      </c>
      <c r="S38" s="5" t="s">
        <v>21</v>
      </c>
      <c r="T38" s="5" t="s">
        <v>791</v>
      </c>
      <c r="U38" s="5" t="s">
        <v>792</v>
      </c>
      <c r="V38" s="5" t="s">
        <v>793</v>
      </c>
      <c r="W38" s="5" t="s">
        <v>794</v>
      </c>
      <c r="X38" s="5" t="s">
        <v>795</v>
      </c>
      <c r="Y38" s="5" t="s">
        <v>796</v>
      </c>
      <c r="Z38" s="5" t="s">
        <v>797</v>
      </c>
      <c r="AA38" s="5" t="s">
        <v>798</v>
      </c>
      <c r="AB38" s="5" t="s">
        <v>799</v>
      </c>
      <c r="AC38" s="5" t="s">
        <v>800</v>
      </c>
      <c r="AD38" s="5" t="s">
        <v>800</v>
      </c>
      <c r="AE38" s="5" t="s">
        <v>801</v>
      </c>
      <c r="AF38" s="5">
        <v>48</v>
      </c>
      <c r="AG38" s="5">
        <v>79</v>
      </c>
      <c r="AH38" s="5">
        <v>89</v>
      </c>
      <c r="AI38" s="5">
        <v>5</v>
      </c>
      <c r="AJ38" s="5">
        <v>100</v>
      </c>
      <c r="AK38" s="5" t="s">
        <v>659</v>
      </c>
      <c r="AL38" s="5" t="s">
        <v>660</v>
      </c>
      <c r="AM38" s="5" t="s">
        <v>661</v>
      </c>
      <c r="AN38" s="5" t="s">
        <v>662</v>
      </c>
      <c r="AO38" s="5" t="s">
        <v>21</v>
      </c>
      <c r="AP38" s="5" t="s">
        <v>21</v>
      </c>
      <c r="AQ38" s="5" t="s">
        <v>664</v>
      </c>
      <c r="AR38" s="5" t="s">
        <v>665</v>
      </c>
      <c r="AS38" s="5" t="s">
        <v>176</v>
      </c>
      <c r="AT38" s="5">
        <v>2013</v>
      </c>
      <c r="AU38" s="5">
        <v>21</v>
      </c>
      <c r="AV38" s="5">
        <v>2</v>
      </c>
      <c r="AW38" s="5" t="s">
        <v>21</v>
      </c>
      <c r="AX38" s="5" t="s">
        <v>21</v>
      </c>
      <c r="AY38" s="5" t="s">
        <v>21</v>
      </c>
      <c r="AZ38" s="5" t="s">
        <v>21</v>
      </c>
      <c r="BA38" s="5">
        <v>208</v>
      </c>
      <c r="BB38" s="5">
        <v>217</v>
      </c>
      <c r="BC38" s="5" t="s">
        <v>21</v>
      </c>
      <c r="BD38" s="5" t="s">
        <v>802</v>
      </c>
      <c r="BE38" s="5" t="str">
        <f>HYPERLINK("http://dx.doi.org/10.1109/TNSRE.2013.2240700","http://dx.doi.org/10.1109/TNSRE.2013.2240700")</f>
        <v>http://dx.doi.org/10.1109/TNSRE.2013.2240700</v>
      </c>
      <c r="BF38" s="5" t="s">
        <v>21</v>
      </c>
      <c r="BG38" s="5" t="s">
        <v>21</v>
      </c>
      <c r="BH38" s="5">
        <v>10</v>
      </c>
      <c r="BI38" s="5" t="s">
        <v>667</v>
      </c>
      <c r="BJ38" s="5" t="s">
        <v>92</v>
      </c>
      <c r="BK38" s="5" t="s">
        <v>668</v>
      </c>
      <c r="BL38" s="5" t="s">
        <v>803</v>
      </c>
      <c r="BM38" s="5">
        <v>23362251</v>
      </c>
      <c r="BN38" s="5" t="s">
        <v>21</v>
      </c>
      <c r="BO38" s="5" t="s">
        <v>21</v>
      </c>
      <c r="BP38" s="5" t="s">
        <v>21</v>
      </c>
      <c r="BQ38" s="5" t="s">
        <v>49</v>
      </c>
      <c r="BR38" s="5" t="s">
        <v>804</v>
      </c>
      <c r="BS38" s="5" t="str">
        <f>HYPERLINK("https%3A%2F%2Fwww.webofscience.com%2Fwos%2Fwoscc%2Ffull-record%2FWOS:000316264100007","View Full Record in Web of Science")</f>
        <v>View Full Record in Web of Science</v>
      </c>
    </row>
    <row r="39" spans="1:71" x14ac:dyDescent="0.25">
      <c r="A39" t="s">
        <v>19</v>
      </c>
      <c r="B39" s="5" t="s">
        <v>805</v>
      </c>
      <c r="C39" s="5" t="s">
        <v>21</v>
      </c>
      <c r="D39" s="5" t="s">
        <v>21</v>
      </c>
      <c r="E39" s="5" t="s">
        <v>21</v>
      </c>
      <c r="F39" s="5" t="s">
        <v>806</v>
      </c>
      <c r="G39" s="5" t="s">
        <v>21</v>
      </c>
      <c r="H39" s="5" t="s">
        <v>21</v>
      </c>
      <c r="I39" s="5" t="s">
        <v>807</v>
      </c>
      <c r="J39" s="12" t="s">
        <v>808</v>
      </c>
      <c r="K39" s="5" t="s">
        <v>21</v>
      </c>
      <c r="L39" s="5" t="s">
        <v>21</v>
      </c>
      <c r="M39" s="5" t="s">
        <v>25</v>
      </c>
      <c r="N39" s="5" t="s">
        <v>76</v>
      </c>
      <c r="O39" s="5" t="s">
        <v>21</v>
      </c>
      <c r="P39" s="5" t="s">
        <v>21</v>
      </c>
      <c r="Q39" s="5" t="s">
        <v>21</v>
      </c>
      <c r="R39" s="5" t="s">
        <v>21</v>
      </c>
      <c r="S39" s="5" t="s">
        <v>21</v>
      </c>
      <c r="T39" s="5" t="s">
        <v>809</v>
      </c>
      <c r="U39" s="5" t="s">
        <v>810</v>
      </c>
      <c r="V39" s="5" t="s">
        <v>811</v>
      </c>
      <c r="W39" s="5" t="s">
        <v>812</v>
      </c>
      <c r="X39" s="5" t="s">
        <v>813</v>
      </c>
      <c r="Y39" s="5" t="s">
        <v>814</v>
      </c>
      <c r="Z39" s="5" t="s">
        <v>815</v>
      </c>
      <c r="AA39" s="5" t="s">
        <v>816</v>
      </c>
      <c r="AB39" s="5" t="s">
        <v>817</v>
      </c>
      <c r="AC39" s="5" t="s">
        <v>818</v>
      </c>
      <c r="AD39" s="5" t="s">
        <v>819</v>
      </c>
      <c r="AE39" s="5" t="s">
        <v>820</v>
      </c>
      <c r="AF39" s="5">
        <v>200</v>
      </c>
      <c r="AG39" s="5">
        <v>75</v>
      </c>
      <c r="AH39" s="5">
        <v>78</v>
      </c>
      <c r="AI39" s="5">
        <v>31</v>
      </c>
      <c r="AJ39" s="5">
        <v>152</v>
      </c>
      <c r="AK39" s="5" t="s">
        <v>193</v>
      </c>
      <c r="AL39" s="5" t="s">
        <v>194</v>
      </c>
      <c r="AM39" s="5" t="s">
        <v>195</v>
      </c>
      <c r="AN39" s="5" t="s">
        <v>21</v>
      </c>
      <c r="AO39" s="5" t="s">
        <v>821</v>
      </c>
      <c r="AP39" s="5" t="s">
        <v>21</v>
      </c>
      <c r="AQ39" s="5" t="s">
        <v>822</v>
      </c>
      <c r="AR39" s="5" t="s">
        <v>823</v>
      </c>
      <c r="AS39" s="5" t="s">
        <v>69</v>
      </c>
      <c r="AT39" s="5">
        <v>2022</v>
      </c>
      <c r="AU39" s="5">
        <v>12</v>
      </c>
      <c r="AV39" s="5">
        <v>5</v>
      </c>
      <c r="AW39" s="5" t="s">
        <v>21</v>
      </c>
      <c r="AX39" s="5" t="s">
        <v>21</v>
      </c>
      <c r="AY39" s="5" t="s">
        <v>21</v>
      </c>
      <c r="AZ39" s="5" t="s">
        <v>21</v>
      </c>
      <c r="BA39" s="5" t="s">
        <v>21</v>
      </c>
      <c r="BB39" s="5" t="s">
        <v>21</v>
      </c>
      <c r="BC39" s="5">
        <v>138</v>
      </c>
      <c r="BD39" s="5" t="s">
        <v>824</v>
      </c>
      <c r="BE39" s="5" t="str">
        <f>HYPERLINK("http://dx.doi.org/10.3390/bs12050138","http://dx.doi.org/10.3390/bs12050138")</f>
        <v>http://dx.doi.org/10.3390/bs12050138</v>
      </c>
      <c r="BF39" s="5" t="s">
        <v>21</v>
      </c>
      <c r="BG39" s="5" t="s">
        <v>21</v>
      </c>
      <c r="BH39" s="5">
        <v>33</v>
      </c>
      <c r="BI39" s="5" t="s">
        <v>825</v>
      </c>
      <c r="BJ39" s="5" t="s">
        <v>45</v>
      </c>
      <c r="BK39" s="5" t="s">
        <v>46</v>
      </c>
      <c r="BL39" s="5" t="s">
        <v>826</v>
      </c>
      <c r="BM39" s="5">
        <v>35621435</v>
      </c>
      <c r="BN39" s="5" t="s">
        <v>827</v>
      </c>
      <c r="BO39" s="5" t="s">
        <v>21</v>
      </c>
      <c r="BP39" s="5" t="s">
        <v>21</v>
      </c>
      <c r="BQ39" s="5" t="s">
        <v>49</v>
      </c>
      <c r="BR39" s="5" t="s">
        <v>828</v>
      </c>
      <c r="BS39" s="5" t="str">
        <f>HYPERLINK("https%3A%2F%2Fwww.webofscience.com%2Fwos%2Fwoscc%2Ffull-record%2FWOS:000801670600001","View Full Record in Web of Science")</f>
        <v>View Full Record in Web of Science</v>
      </c>
    </row>
    <row r="40" spans="1:71" x14ac:dyDescent="0.25">
      <c r="A40" t="s">
        <v>19</v>
      </c>
      <c r="B40" s="5" t="s">
        <v>829</v>
      </c>
      <c r="C40" s="5" t="s">
        <v>21</v>
      </c>
      <c r="D40" s="5" t="s">
        <v>21</v>
      </c>
      <c r="E40" s="5" t="s">
        <v>21</v>
      </c>
      <c r="F40" s="5" t="s">
        <v>830</v>
      </c>
      <c r="G40" s="5" t="s">
        <v>21</v>
      </c>
      <c r="H40" s="5" t="s">
        <v>21</v>
      </c>
      <c r="I40" s="5" t="s">
        <v>831</v>
      </c>
      <c r="J40" s="12" t="s">
        <v>832</v>
      </c>
      <c r="K40" s="5" t="s">
        <v>21</v>
      </c>
      <c r="L40" s="5" t="s">
        <v>21</v>
      </c>
      <c r="M40" s="5" t="s">
        <v>25</v>
      </c>
      <c r="N40" s="5" t="s">
        <v>26</v>
      </c>
      <c r="O40" s="5" t="s">
        <v>21</v>
      </c>
      <c r="P40" s="5" t="s">
        <v>21</v>
      </c>
      <c r="Q40" s="5" t="s">
        <v>21</v>
      </c>
      <c r="R40" s="5" t="s">
        <v>21</v>
      </c>
      <c r="S40" s="5" t="s">
        <v>21</v>
      </c>
      <c r="T40" s="5" t="s">
        <v>21</v>
      </c>
      <c r="U40" s="5" t="s">
        <v>21</v>
      </c>
      <c r="V40" s="5" t="s">
        <v>833</v>
      </c>
      <c r="W40" s="5" t="s">
        <v>834</v>
      </c>
      <c r="X40" s="5" t="s">
        <v>835</v>
      </c>
      <c r="Y40" s="5" t="s">
        <v>836</v>
      </c>
      <c r="Z40" s="5" t="s">
        <v>837</v>
      </c>
      <c r="AA40" s="5" t="s">
        <v>21</v>
      </c>
      <c r="AB40" s="5" t="s">
        <v>21</v>
      </c>
      <c r="AC40" s="5" t="s">
        <v>21</v>
      </c>
      <c r="AD40" s="5" t="s">
        <v>21</v>
      </c>
      <c r="AE40" s="5" t="s">
        <v>21</v>
      </c>
      <c r="AF40" s="5">
        <v>24</v>
      </c>
      <c r="AG40" s="5">
        <v>75</v>
      </c>
      <c r="AH40" s="5">
        <v>98</v>
      </c>
      <c r="AI40" s="5">
        <v>2</v>
      </c>
      <c r="AJ40" s="5">
        <v>29</v>
      </c>
      <c r="AK40" s="5" t="s">
        <v>838</v>
      </c>
      <c r="AL40" s="5" t="s">
        <v>585</v>
      </c>
      <c r="AM40" s="5" t="s">
        <v>839</v>
      </c>
      <c r="AN40" s="5" t="s">
        <v>840</v>
      </c>
      <c r="AO40" s="5" t="s">
        <v>841</v>
      </c>
      <c r="AP40" s="5" t="s">
        <v>21</v>
      </c>
      <c r="AQ40" s="5" t="s">
        <v>842</v>
      </c>
      <c r="AR40" s="5" t="s">
        <v>843</v>
      </c>
      <c r="AS40" s="5" t="s">
        <v>844</v>
      </c>
      <c r="AT40" s="5">
        <v>2007</v>
      </c>
      <c r="AU40" s="5">
        <v>27</v>
      </c>
      <c r="AV40" s="5">
        <v>3</v>
      </c>
      <c r="AW40" s="5" t="s">
        <v>21</v>
      </c>
      <c r="AX40" s="5" t="s">
        <v>21</v>
      </c>
      <c r="AY40" s="5" t="s">
        <v>21</v>
      </c>
      <c r="AZ40" s="5" t="s">
        <v>21</v>
      </c>
      <c r="BA40" s="5">
        <v>242</v>
      </c>
      <c r="BB40" s="5">
        <v>253</v>
      </c>
      <c r="BC40" s="5" t="s">
        <v>21</v>
      </c>
      <c r="BD40" s="5" t="s">
        <v>845</v>
      </c>
      <c r="BE40" s="5" t="str">
        <f>HYPERLINK("http://dx.doi.org/10.1097/01.TLD.0000285358.33545.79","http://dx.doi.org/10.1097/01.TLD.0000285358.33545.79")</f>
        <v>http://dx.doi.org/10.1097/01.TLD.0000285358.33545.79</v>
      </c>
      <c r="BF40" s="5" t="s">
        <v>21</v>
      </c>
      <c r="BG40" s="5" t="s">
        <v>21</v>
      </c>
      <c r="BH40" s="5">
        <v>12</v>
      </c>
      <c r="BI40" s="5" t="s">
        <v>846</v>
      </c>
      <c r="BJ40" s="5" t="s">
        <v>45</v>
      </c>
      <c r="BK40" s="5" t="s">
        <v>846</v>
      </c>
      <c r="BL40" s="5" t="s">
        <v>847</v>
      </c>
      <c r="BM40" s="5" t="s">
        <v>21</v>
      </c>
      <c r="BN40" s="5" t="s">
        <v>21</v>
      </c>
      <c r="BO40" s="5" t="s">
        <v>21</v>
      </c>
      <c r="BP40" s="5" t="s">
        <v>21</v>
      </c>
      <c r="BQ40" s="5" t="s">
        <v>49</v>
      </c>
      <c r="BR40" s="5" t="s">
        <v>848</v>
      </c>
      <c r="BS40" s="5" t="str">
        <f>HYPERLINK("https%3A%2F%2Fwww.webofscience.com%2Fwos%2Fwoscc%2Ffull-record%2FWOS:000249044500005","View Full Record in Web of Science")</f>
        <v>View Full Record in Web of Science</v>
      </c>
    </row>
    <row r="41" spans="1:71" x14ac:dyDescent="0.25">
      <c r="A41" t="s">
        <v>19</v>
      </c>
      <c r="B41" s="5" t="s">
        <v>849</v>
      </c>
      <c r="C41" s="5" t="s">
        <v>21</v>
      </c>
      <c r="D41" s="5" t="s">
        <v>21</v>
      </c>
      <c r="E41" s="5" t="s">
        <v>21</v>
      </c>
      <c r="F41" s="5" t="s">
        <v>850</v>
      </c>
      <c r="G41" s="5" t="s">
        <v>21</v>
      </c>
      <c r="H41" s="5" t="s">
        <v>21</v>
      </c>
      <c r="I41" s="5" t="s">
        <v>851</v>
      </c>
      <c r="J41" s="12" t="s">
        <v>142</v>
      </c>
      <c r="K41" s="5" t="s">
        <v>21</v>
      </c>
      <c r="L41" s="5" t="s">
        <v>21</v>
      </c>
      <c r="M41" s="5" t="s">
        <v>25</v>
      </c>
      <c r="N41" s="5" t="s">
        <v>76</v>
      </c>
      <c r="O41" s="5" t="s">
        <v>21</v>
      </c>
      <c r="P41" s="5" t="s">
        <v>21</v>
      </c>
      <c r="Q41" s="5" t="s">
        <v>21</v>
      </c>
      <c r="R41" s="5" t="s">
        <v>21</v>
      </c>
      <c r="S41" s="5" t="s">
        <v>21</v>
      </c>
      <c r="T41" s="5" t="s">
        <v>852</v>
      </c>
      <c r="U41" s="5" t="s">
        <v>853</v>
      </c>
      <c r="V41" s="5" t="s">
        <v>854</v>
      </c>
      <c r="W41" s="5" t="s">
        <v>855</v>
      </c>
      <c r="X41" s="5" t="s">
        <v>856</v>
      </c>
      <c r="Y41" s="5" t="s">
        <v>857</v>
      </c>
      <c r="Z41" s="5" t="s">
        <v>858</v>
      </c>
      <c r="AA41" s="5" t="s">
        <v>859</v>
      </c>
      <c r="AB41" s="5" t="s">
        <v>860</v>
      </c>
      <c r="AC41" s="5" t="s">
        <v>21</v>
      </c>
      <c r="AD41" s="5" t="s">
        <v>21</v>
      </c>
      <c r="AE41" s="5" t="s">
        <v>21</v>
      </c>
      <c r="AF41" s="5">
        <v>106</v>
      </c>
      <c r="AG41" s="5">
        <v>74</v>
      </c>
      <c r="AH41" s="5">
        <v>81</v>
      </c>
      <c r="AI41" s="5">
        <v>21</v>
      </c>
      <c r="AJ41" s="5">
        <v>123</v>
      </c>
      <c r="AK41" s="5" t="s">
        <v>153</v>
      </c>
      <c r="AL41" s="5" t="s">
        <v>154</v>
      </c>
      <c r="AM41" s="5" t="s">
        <v>155</v>
      </c>
      <c r="AN41" s="5" t="s">
        <v>156</v>
      </c>
      <c r="AO41" s="5" t="s">
        <v>21</v>
      </c>
      <c r="AP41" s="5" t="s">
        <v>21</v>
      </c>
      <c r="AQ41" s="5" t="s">
        <v>157</v>
      </c>
      <c r="AR41" s="5" t="s">
        <v>158</v>
      </c>
      <c r="AS41" s="5" t="s">
        <v>861</v>
      </c>
      <c r="AT41" s="5">
        <v>2021</v>
      </c>
      <c r="AU41" s="5">
        <v>12</v>
      </c>
      <c r="AV41" s="5" t="s">
        <v>21</v>
      </c>
      <c r="AW41" s="5" t="s">
        <v>21</v>
      </c>
      <c r="AX41" s="5" t="s">
        <v>21</v>
      </c>
      <c r="AY41" s="5" t="s">
        <v>21</v>
      </c>
      <c r="AZ41" s="5" t="s">
        <v>21</v>
      </c>
      <c r="BA41" s="5" t="s">
        <v>21</v>
      </c>
      <c r="BB41" s="5" t="s">
        <v>21</v>
      </c>
      <c r="BC41" s="5">
        <v>665326</v>
      </c>
      <c r="BD41" s="5" t="s">
        <v>862</v>
      </c>
      <c r="BE41" s="5" t="str">
        <f>HYPERLINK("http://dx.doi.org/10.3389/fpsyt.2021.665326","http://dx.doi.org/10.3389/fpsyt.2021.665326")</f>
        <v>http://dx.doi.org/10.3389/fpsyt.2021.665326</v>
      </c>
      <c r="BF41" s="5" t="s">
        <v>21</v>
      </c>
      <c r="BG41" s="5" t="s">
        <v>21</v>
      </c>
      <c r="BH41" s="5">
        <v>25</v>
      </c>
      <c r="BI41" s="5" t="s">
        <v>161</v>
      </c>
      <c r="BJ41" s="5" t="s">
        <v>92</v>
      </c>
      <c r="BK41" s="5" t="s">
        <v>161</v>
      </c>
      <c r="BL41" s="5" t="s">
        <v>863</v>
      </c>
      <c r="BM41" s="5">
        <v>34248702</v>
      </c>
      <c r="BN41" s="5" t="s">
        <v>864</v>
      </c>
      <c r="BO41" s="5" t="s">
        <v>21</v>
      </c>
      <c r="BP41" s="5" t="s">
        <v>21</v>
      </c>
      <c r="BQ41" s="5" t="s">
        <v>49</v>
      </c>
      <c r="BR41" s="5" t="s">
        <v>865</v>
      </c>
      <c r="BS41" s="5" t="str">
        <f>HYPERLINK("https%3A%2F%2Fwww.webofscience.com%2Fwos%2Fwoscc%2Ffull-record%2FWOS:000670292500001","View Full Record in Web of Science")</f>
        <v>View Full Record in Web of Science</v>
      </c>
    </row>
    <row r="42" spans="1:71" x14ac:dyDescent="0.25">
      <c r="A42" t="s">
        <v>19</v>
      </c>
      <c r="B42" s="5" t="s">
        <v>866</v>
      </c>
      <c r="C42" s="5" t="s">
        <v>21</v>
      </c>
      <c r="D42" s="5" t="s">
        <v>21</v>
      </c>
      <c r="E42" s="5" t="s">
        <v>21</v>
      </c>
      <c r="F42" s="5" t="s">
        <v>867</v>
      </c>
      <c r="G42" s="5" t="s">
        <v>21</v>
      </c>
      <c r="H42" s="5" t="s">
        <v>21</v>
      </c>
      <c r="I42" s="5" t="s">
        <v>868</v>
      </c>
      <c r="J42" s="12" t="s">
        <v>869</v>
      </c>
      <c r="K42" s="5" t="s">
        <v>21</v>
      </c>
      <c r="L42" s="5" t="s">
        <v>21</v>
      </c>
      <c r="M42" s="5" t="s">
        <v>25</v>
      </c>
      <c r="N42" s="5" t="s">
        <v>26</v>
      </c>
      <c r="O42" s="5" t="s">
        <v>21</v>
      </c>
      <c r="P42" s="5" t="s">
        <v>21</v>
      </c>
      <c r="Q42" s="5" t="s">
        <v>21</v>
      </c>
      <c r="R42" s="5" t="s">
        <v>21</v>
      </c>
      <c r="S42" s="5" t="s">
        <v>21</v>
      </c>
      <c r="T42" s="5" t="s">
        <v>870</v>
      </c>
      <c r="U42" s="5" t="s">
        <v>871</v>
      </c>
      <c r="V42" s="5" t="s">
        <v>872</v>
      </c>
      <c r="W42" s="5" t="s">
        <v>873</v>
      </c>
      <c r="X42" s="5" t="s">
        <v>874</v>
      </c>
      <c r="Y42" s="5" t="s">
        <v>875</v>
      </c>
      <c r="Z42" s="5" t="s">
        <v>490</v>
      </c>
      <c r="AA42" s="5" t="s">
        <v>876</v>
      </c>
      <c r="AB42" s="5" t="s">
        <v>877</v>
      </c>
      <c r="AC42" s="5" t="s">
        <v>878</v>
      </c>
      <c r="AD42" s="5" t="s">
        <v>879</v>
      </c>
      <c r="AE42" s="5" t="s">
        <v>880</v>
      </c>
      <c r="AF42" s="5">
        <v>41</v>
      </c>
      <c r="AG42" s="5">
        <v>73</v>
      </c>
      <c r="AH42" s="5">
        <v>77</v>
      </c>
      <c r="AI42" s="5">
        <v>40</v>
      </c>
      <c r="AJ42" s="5">
        <v>197</v>
      </c>
      <c r="AK42" s="5" t="s">
        <v>733</v>
      </c>
      <c r="AL42" s="5" t="s">
        <v>734</v>
      </c>
      <c r="AM42" s="5" t="s">
        <v>735</v>
      </c>
      <c r="AN42" s="5" t="s">
        <v>881</v>
      </c>
      <c r="AO42" s="5" t="s">
        <v>882</v>
      </c>
      <c r="AP42" s="5" t="s">
        <v>21</v>
      </c>
      <c r="AQ42" s="5" t="s">
        <v>883</v>
      </c>
      <c r="AR42" s="5" t="s">
        <v>884</v>
      </c>
      <c r="AS42" s="5" t="s">
        <v>176</v>
      </c>
      <c r="AT42" s="5">
        <v>2022</v>
      </c>
      <c r="AU42" s="5">
        <v>37</v>
      </c>
      <c r="AV42" s="5">
        <v>1</v>
      </c>
      <c r="AW42" s="5" t="s">
        <v>21</v>
      </c>
      <c r="AX42" s="5" t="s">
        <v>21</v>
      </c>
      <c r="AY42" s="5" t="s">
        <v>21</v>
      </c>
      <c r="AZ42" s="5" t="s">
        <v>21</v>
      </c>
      <c r="BA42" s="5">
        <v>49</v>
      </c>
      <c r="BB42" s="5">
        <v>62</v>
      </c>
      <c r="BC42" s="5">
        <v>162643420945603</v>
      </c>
      <c r="BD42" s="5" t="s">
        <v>885</v>
      </c>
      <c r="BE42" s="5" t="str">
        <f>HYPERLINK("http://dx.doi.org/10.1177/0162643420945603","http://dx.doi.org/10.1177/0162643420945603")</f>
        <v>http://dx.doi.org/10.1177/0162643420945603</v>
      </c>
      <c r="BF42" s="5" t="s">
        <v>21</v>
      </c>
      <c r="BG42" s="5" t="s">
        <v>886</v>
      </c>
      <c r="BH42" s="5">
        <v>14</v>
      </c>
      <c r="BI42" s="5" t="s">
        <v>887</v>
      </c>
      <c r="BJ42" s="5" t="s">
        <v>45</v>
      </c>
      <c r="BK42" s="5" t="s">
        <v>888</v>
      </c>
      <c r="BL42" s="5" t="s">
        <v>889</v>
      </c>
      <c r="BM42" s="5" t="s">
        <v>21</v>
      </c>
      <c r="BN42" s="5" t="s">
        <v>21</v>
      </c>
      <c r="BO42" s="5" t="s">
        <v>21</v>
      </c>
      <c r="BP42" s="5" t="s">
        <v>21</v>
      </c>
      <c r="BQ42" s="5" t="s">
        <v>49</v>
      </c>
      <c r="BR42" s="5" t="s">
        <v>890</v>
      </c>
      <c r="BS42" s="5" t="str">
        <f>HYPERLINK("https%3A%2F%2Fwww.webofscience.com%2Fwos%2Fwoscc%2Ffull-record%2FWOS:000570666400001","View Full Record in Web of Science")</f>
        <v>View Full Record in Web of Science</v>
      </c>
    </row>
    <row r="43" spans="1:71" x14ac:dyDescent="0.25">
      <c r="A43" t="s">
        <v>19</v>
      </c>
      <c r="B43" s="5" t="s">
        <v>891</v>
      </c>
      <c r="C43" s="5" t="s">
        <v>21</v>
      </c>
      <c r="D43" s="5" t="s">
        <v>21</v>
      </c>
      <c r="E43" s="5" t="s">
        <v>21</v>
      </c>
      <c r="F43" s="5" t="s">
        <v>892</v>
      </c>
      <c r="G43" s="5" t="s">
        <v>21</v>
      </c>
      <c r="H43" s="5" t="s">
        <v>21</v>
      </c>
      <c r="I43" s="5" t="s">
        <v>893</v>
      </c>
      <c r="J43" s="12" t="s">
        <v>894</v>
      </c>
      <c r="K43" s="5" t="s">
        <v>21</v>
      </c>
      <c r="L43" s="5" t="s">
        <v>21</v>
      </c>
      <c r="M43" s="5" t="s">
        <v>25</v>
      </c>
      <c r="N43" s="5" t="s">
        <v>26</v>
      </c>
      <c r="O43" s="5" t="s">
        <v>21</v>
      </c>
      <c r="P43" s="5" t="s">
        <v>21</v>
      </c>
      <c r="Q43" s="5" t="s">
        <v>21</v>
      </c>
      <c r="R43" s="5" t="s">
        <v>21</v>
      </c>
      <c r="S43" s="5" t="s">
        <v>21</v>
      </c>
      <c r="T43" s="5" t="s">
        <v>895</v>
      </c>
      <c r="U43" s="5" t="s">
        <v>896</v>
      </c>
      <c r="V43" s="5" t="s">
        <v>897</v>
      </c>
      <c r="W43" s="5" t="s">
        <v>898</v>
      </c>
      <c r="X43" s="5" t="s">
        <v>899</v>
      </c>
      <c r="Y43" s="5" t="s">
        <v>900</v>
      </c>
      <c r="Z43" s="5" t="s">
        <v>901</v>
      </c>
      <c r="AA43" s="5" t="s">
        <v>902</v>
      </c>
      <c r="AB43" s="5" t="s">
        <v>903</v>
      </c>
      <c r="AC43" s="5" t="s">
        <v>21</v>
      </c>
      <c r="AD43" s="5" t="s">
        <v>21</v>
      </c>
      <c r="AE43" s="5" t="s">
        <v>21</v>
      </c>
      <c r="AF43" s="5">
        <v>105</v>
      </c>
      <c r="AG43" s="5">
        <v>73</v>
      </c>
      <c r="AH43" s="5">
        <v>79</v>
      </c>
      <c r="AI43" s="5">
        <v>27</v>
      </c>
      <c r="AJ43" s="5">
        <v>146</v>
      </c>
      <c r="AK43" s="5" t="s">
        <v>904</v>
      </c>
      <c r="AL43" s="5" t="s">
        <v>36</v>
      </c>
      <c r="AM43" s="5" t="s">
        <v>905</v>
      </c>
      <c r="AN43" s="5" t="s">
        <v>906</v>
      </c>
      <c r="AO43" s="5" t="s">
        <v>907</v>
      </c>
      <c r="AP43" s="5" t="s">
        <v>21</v>
      </c>
      <c r="AQ43" s="5" t="s">
        <v>908</v>
      </c>
      <c r="AR43" s="5" t="s">
        <v>909</v>
      </c>
      <c r="AS43" s="5" t="s">
        <v>69</v>
      </c>
      <c r="AT43" s="5">
        <v>2020</v>
      </c>
      <c r="AU43" s="5">
        <v>25</v>
      </c>
      <c r="AV43" s="5">
        <v>3</v>
      </c>
      <c r="AW43" s="5" t="s">
        <v>21</v>
      </c>
      <c r="AX43" s="5" t="s">
        <v>21</v>
      </c>
      <c r="AY43" s="5" t="s">
        <v>21</v>
      </c>
      <c r="AZ43" s="5" t="s">
        <v>21</v>
      </c>
      <c r="BA43" s="5">
        <v>1689</v>
      </c>
      <c r="BB43" s="5">
        <v>1722</v>
      </c>
      <c r="BC43" s="5" t="s">
        <v>21</v>
      </c>
      <c r="BD43" s="5" t="s">
        <v>910</v>
      </c>
      <c r="BE43" s="5" t="str">
        <f>HYPERLINK("http://dx.doi.org/10.1007/s10639-019-10050-0","http://dx.doi.org/10.1007/s10639-019-10050-0")</f>
        <v>http://dx.doi.org/10.1007/s10639-019-10050-0</v>
      </c>
      <c r="BF43" s="5" t="s">
        <v>21</v>
      </c>
      <c r="BG43" s="5" t="s">
        <v>21</v>
      </c>
      <c r="BH43" s="5">
        <v>34</v>
      </c>
      <c r="BI43" s="5" t="s">
        <v>503</v>
      </c>
      <c r="BJ43" s="5" t="s">
        <v>45</v>
      </c>
      <c r="BK43" s="5" t="s">
        <v>503</v>
      </c>
      <c r="BL43" s="5" t="s">
        <v>911</v>
      </c>
      <c r="BM43" s="5" t="s">
        <v>21</v>
      </c>
      <c r="BN43" s="5" t="s">
        <v>21</v>
      </c>
      <c r="BO43" s="5" t="s">
        <v>21</v>
      </c>
      <c r="BP43" s="5" t="s">
        <v>21</v>
      </c>
      <c r="BQ43" s="5" t="s">
        <v>49</v>
      </c>
      <c r="BR43" s="5" t="s">
        <v>912</v>
      </c>
      <c r="BS43" s="5" t="str">
        <f>HYPERLINK("https%3A%2F%2Fwww.webofscience.com%2Fwos%2Fwoscc%2Ffull-record%2FWOS:000532783100013","View Full Record in Web of Science")</f>
        <v>View Full Record in Web of Science</v>
      </c>
    </row>
    <row r="44" spans="1:71" x14ac:dyDescent="0.25">
      <c r="A44" t="s">
        <v>19</v>
      </c>
      <c r="B44" s="5" t="s">
        <v>913</v>
      </c>
      <c r="C44" s="5" t="s">
        <v>21</v>
      </c>
      <c r="D44" s="5" t="s">
        <v>21</v>
      </c>
      <c r="E44" s="5" t="s">
        <v>21</v>
      </c>
      <c r="F44" s="5" t="s">
        <v>914</v>
      </c>
      <c r="G44" s="5" t="s">
        <v>21</v>
      </c>
      <c r="H44" s="5" t="s">
        <v>21</v>
      </c>
      <c r="I44" s="5" t="s">
        <v>915</v>
      </c>
      <c r="J44" s="12" t="s">
        <v>916</v>
      </c>
      <c r="K44" s="5" t="s">
        <v>21</v>
      </c>
      <c r="L44" s="5" t="s">
        <v>21</v>
      </c>
      <c r="M44" s="5" t="s">
        <v>25</v>
      </c>
      <c r="N44" s="5" t="s">
        <v>26</v>
      </c>
      <c r="O44" s="5" t="s">
        <v>21</v>
      </c>
      <c r="P44" s="5" t="s">
        <v>21</v>
      </c>
      <c r="Q44" s="5" t="s">
        <v>21</v>
      </c>
      <c r="R44" s="5" t="s">
        <v>21</v>
      </c>
      <c r="S44" s="5" t="s">
        <v>21</v>
      </c>
      <c r="T44" s="5" t="s">
        <v>917</v>
      </c>
      <c r="U44" s="5" t="s">
        <v>918</v>
      </c>
      <c r="V44" s="5" t="s">
        <v>919</v>
      </c>
      <c r="W44" s="5" t="s">
        <v>920</v>
      </c>
      <c r="X44" s="5" t="s">
        <v>921</v>
      </c>
      <c r="Y44" s="5" t="s">
        <v>922</v>
      </c>
      <c r="Z44" s="5" t="s">
        <v>923</v>
      </c>
      <c r="AA44" s="5" t="s">
        <v>654</v>
      </c>
      <c r="AB44" s="5" t="s">
        <v>924</v>
      </c>
      <c r="AC44" s="5" t="s">
        <v>925</v>
      </c>
      <c r="AD44" s="5" t="s">
        <v>926</v>
      </c>
      <c r="AE44" s="5" t="s">
        <v>927</v>
      </c>
      <c r="AF44" s="5">
        <v>42</v>
      </c>
      <c r="AG44" s="5">
        <v>72</v>
      </c>
      <c r="AH44" s="5">
        <v>80</v>
      </c>
      <c r="AI44" s="5">
        <v>5</v>
      </c>
      <c r="AJ44" s="5">
        <v>65</v>
      </c>
      <c r="AK44" s="5" t="s">
        <v>659</v>
      </c>
      <c r="AL44" s="5" t="s">
        <v>660</v>
      </c>
      <c r="AM44" s="5" t="s">
        <v>661</v>
      </c>
      <c r="AN44" s="5" t="s">
        <v>928</v>
      </c>
      <c r="AO44" s="5" t="s">
        <v>929</v>
      </c>
      <c r="AP44" s="5" t="s">
        <v>21</v>
      </c>
      <c r="AQ44" s="5" t="s">
        <v>930</v>
      </c>
      <c r="AR44" s="5" t="s">
        <v>931</v>
      </c>
      <c r="AS44" s="5" t="s">
        <v>42</v>
      </c>
      <c r="AT44" s="5">
        <v>2018</v>
      </c>
      <c r="AU44" s="5">
        <v>65</v>
      </c>
      <c r="AV44" s="5">
        <v>1</v>
      </c>
      <c r="AW44" s="5" t="s">
        <v>21</v>
      </c>
      <c r="AX44" s="5" t="s">
        <v>21</v>
      </c>
      <c r="AY44" s="5" t="s">
        <v>21</v>
      </c>
      <c r="AZ44" s="5" t="s">
        <v>21</v>
      </c>
      <c r="BA44" s="5">
        <v>43</v>
      </c>
      <c r="BB44" s="5">
        <v>51</v>
      </c>
      <c r="BC44" s="5" t="s">
        <v>21</v>
      </c>
      <c r="BD44" s="5" t="s">
        <v>932</v>
      </c>
      <c r="BE44" s="5" t="str">
        <f>HYPERLINK("http://dx.doi.org/10.1109/TBME.2017.2693157","http://dx.doi.org/10.1109/TBME.2017.2693157")</f>
        <v>http://dx.doi.org/10.1109/TBME.2017.2693157</v>
      </c>
      <c r="BF44" s="5" t="s">
        <v>21</v>
      </c>
      <c r="BG44" s="5" t="s">
        <v>21</v>
      </c>
      <c r="BH44" s="5">
        <v>9</v>
      </c>
      <c r="BI44" s="5" t="s">
        <v>933</v>
      </c>
      <c r="BJ44" s="5" t="s">
        <v>524</v>
      </c>
      <c r="BK44" s="5" t="s">
        <v>934</v>
      </c>
      <c r="BL44" s="5" t="s">
        <v>935</v>
      </c>
      <c r="BM44" s="5">
        <v>28422647</v>
      </c>
      <c r="BN44" s="5" t="s">
        <v>717</v>
      </c>
      <c r="BO44" s="5" t="s">
        <v>21</v>
      </c>
      <c r="BP44" s="5" t="s">
        <v>21</v>
      </c>
      <c r="BQ44" s="5" t="s">
        <v>49</v>
      </c>
      <c r="BR44" s="5" t="s">
        <v>936</v>
      </c>
      <c r="BS44" s="5" t="str">
        <f>HYPERLINK("https%3A%2F%2Fwww.webofscience.com%2Fwos%2Fwoscc%2Ffull-record%2FWOS:000418722000006","View Full Record in Web of Science")</f>
        <v>View Full Record in Web of Science</v>
      </c>
    </row>
    <row r="45" spans="1:71" x14ac:dyDescent="0.25">
      <c r="A45" t="s">
        <v>19</v>
      </c>
      <c r="B45" s="5" t="s">
        <v>937</v>
      </c>
      <c r="C45" s="5" t="s">
        <v>21</v>
      </c>
      <c r="D45" s="5" t="s">
        <v>21</v>
      </c>
      <c r="E45" s="5" t="s">
        <v>21</v>
      </c>
      <c r="F45" s="5" t="s">
        <v>938</v>
      </c>
      <c r="G45" s="5" t="s">
        <v>21</v>
      </c>
      <c r="H45" s="5" t="s">
        <v>21</v>
      </c>
      <c r="I45" s="5" t="s">
        <v>939</v>
      </c>
      <c r="J45" s="12" t="s">
        <v>54</v>
      </c>
      <c r="K45" s="5" t="s">
        <v>21</v>
      </c>
      <c r="L45" s="5" t="s">
        <v>21</v>
      </c>
      <c r="M45" s="5" t="s">
        <v>25</v>
      </c>
      <c r="N45" s="5" t="s">
        <v>76</v>
      </c>
      <c r="O45" s="5" t="s">
        <v>21</v>
      </c>
      <c r="P45" s="5" t="s">
        <v>21</v>
      </c>
      <c r="Q45" s="5" t="s">
        <v>21</v>
      </c>
      <c r="R45" s="5" t="s">
        <v>21</v>
      </c>
      <c r="S45" s="5" t="s">
        <v>21</v>
      </c>
      <c r="T45" s="5" t="s">
        <v>940</v>
      </c>
      <c r="U45" s="5" t="s">
        <v>941</v>
      </c>
      <c r="V45" s="5" t="s">
        <v>942</v>
      </c>
      <c r="W45" s="5" t="s">
        <v>943</v>
      </c>
      <c r="X45" s="5" t="s">
        <v>944</v>
      </c>
      <c r="Y45" s="5" t="s">
        <v>945</v>
      </c>
      <c r="Z45" s="5" t="s">
        <v>946</v>
      </c>
      <c r="AA45" s="5" t="s">
        <v>21</v>
      </c>
      <c r="AB45" s="5" t="s">
        <v>947</v>
      </c>
      <c r="AC45" s="5" t="s">
        <v>948</v>
      </c>
      <c r="AD45" s="5" t="s">
        <v>949</v>
      </c>
      <c r="AE45" s="5" t="s">
        <v>21</v>
      </c>
      <c r="AF45" s="5">
        <v>128</v>
      </c>
      <c r="AG45" s="5">
        <v>70</v>
      </c>
      <c r="AH45" s="5">
        <v>78</v>
      </c>
      <c r="AI45" s="5">
        <v>1</v>
      </c>
      <c r="AJ45" s="5">
        <v>104</v>
      </c>
      <c r="AK45" s="5" t="s">
        <v>63</v>
      </c>
      <c r="AL45" s="5" t="s">
        <v>64</v>
      </c>
      <c r="AM45" s="5" t="s">
        <v>65</v>
      </c>
      <c r="AN45" s="5" t="s">
        <v>66</v>
      </c>
      <c r="AO45" s="5" t="s">
        <v>67</v>
      </c>
      <c r="AP45" s="5" t="s">
        <v>21</v>
      </c>
      <c r="AQ45" s="5" t="s">
        <v>54</v>
      </c>
      <c r="AR45" s="5" t="s">
        <v>68</v>
      </c>
      <c r="AS45" s="5" t="s">
        <v>543</v>
      </c>
      <c r="AT45" s="5">
        <v>2014</v>
      </c>
      <c r="AU45" s="5">
        <v>18</v>
      </c>
      <c r="AV45" s="5">
        <v>8</v>
      </c>
      <c r="AW45" s="5" t="s">
        <v>21</v>
      </c>
      <c r="AX45" s="5" t="s">
        <v>21</v>
      </c>
      <c r="AY45" s="5" t="s">
        <v>21</v>
      </c>
      <c r="AZ45" s="5" t="s">
        <v>21</v>
      </c>
      <c r="BA45" s="5">
        <v>851</v>
      </c>
      <c r="BB45" s="5">
        <v>871</v>
      </c>
      <c r="BC45" s="5" t="s">
        <v>21</v>
      </c>
      <c r="BD45" s="5" t="s">
        <v>950</v>
      </c>
      <c r="BE45" s="5" t="str">
        <f>HYPERLINK("http://dx.doi.org/10.1177/1362361313499827","http://dx.doi.org/10.1177/1362361313499827")</f>
        <v>http://dx.doi.org/10.1177/1362361313499827</v>
      </c>
      <c r="BF45" s="5" t="s">
        <v>21</v>
      </c>
      <c r="BG45" s="5" t="s">
        <v>21</v>
      </c>
      <c r="BH45" s="5">
        <v>21</v>
      </c>
      <c r="BI45" s="5" t="s">
        <v>44</v>
      </c>
      <c r="BJ45" s="5" t="s">
        <v>45</v>
      </c>
      <c r="BK45" s="5" t="s">
        <v>46</v>
      </c>
      <c r="BL45" s="5" t="s">
        <v>951</v>
      </c>
      <c r="BM45" s="5">
        <v>24129912</v>
      </c>
      <c r="BN45" s="5" t="s">
        <v>21</v>
      </c>
      <c r="BO45" s="5" t="s">
        <v>21</v>
      </c>
      <c r="BP45" s="5" t="s">
        <v>21</v>
      </c>
      <c r="BQ45" s="5" t="s">
        <v>49</v>
      </c>
      <c r="BR45" s="5" t="s">
        <v>952</v>
      </c>
      <c r="BS45" s="5" t="str">
        <f>HYPERLINK("https%3A%2F%2Fwww.webofscience.com%2Fwos%2Fwoscc%2Ffull-record%2FWOS:000343906200001","View Full Record in Web of Science")</f>
        <v>View Full Record in Web of Science</v>
      </c>
    </row>
    <row r="46" spans="1:71" x14ac:dyDescent="0.25">
      <c r="A46" t="s">
        <v>19</v>
      </c>
      <c r="B46" s="5" t="s">
        <v>953</v>
      </c>
      <c r="C46" s="5" t="s">
        <v>21</v>
      </c>
      <c r="D46" s="5" t="s">
        <v>21</v>
      </c>
      <c r="E46" s="5" t="s">
        <v>21</v>
      </c>
      <c r="F46" s="5" t="s">
        <v>954</v>
      </c>
      <c r="G46" s="5" t="s">
        <v>21</v>
      </c>
      <c r="H46" s="5" t="s">
        <v>21</v>
      </c>
      <c r="I46" s="5" t="s">
        <v>955</v>
      </c>
      <c r="J46" s="12" t="s">
        <v>24</v>
      </c>
      <c r="K46" s="5" t="s">
        <v>21</v>
      </c>
      <c r="L46" s="5" t="s">
        <v>21</v>
      </c>
      <c r="M46" s="5" t="s">
        <v>25</v>
      </c>
      <c r="N46" s="5" t="s">
        <v>76</v>
      </c>
      <c r="O46" s="5" t="s">
        <v>21</v>
      </c>
      <c r="P46" s="5" t="s">
        <v>21</v>
      </c>
      <c r="Q46" s="5" t="s">
        <v>21</v>
      </c>
      <c r="R46" s="5" t="s">
        <v>21</v>
      </c>
      <c r="S46" s="5" t="s">
        <v>21</v>
      </c>
      <c r="T46" s="5" t="s">
        <v>956</v>
      </c>
      <c r="U46" s="5" t="s">
        <v>957</v>
      </c>
      <c r="V46" s="5" t="s">
        <v>958</v>
      </c>
      <c r="W46" s="5" t="s">
        <v>959</v>
      </c>
      <c r="X46" s="5" t="s">
        <v>960</v>
      </c>
      <c r="Y46" s="5" t="s">
        <v>961</v>
      </c>
      <c r="Z46" s="5" t="s">
        <v>962</v>
      </c>
      <c r="AA46" s="5" t="s">
        <v>963</v>
      </c>
      <c r="AB46" s="5" t="s">
        <v>964</v>
      </c>
      <c r="AC46" s="5" t="s">
        <v>965</v>
      </c>
      <c r="AD46" s="5" t="s">
        <v>965</v>
      </c>
      <c r="AE46" s="5" t="s">
        <v>966</v>
      </c>
      <c r="AF46" s="5">
        <v>91</v>
      </c>
      <c r="AG46" s="5">
        <v>68</v>
      </c>
      <c r="AH46" s="5">
        <v>74</v>
      </c>
      <c r="AI46" s="5">
        <v>22</v>
      </c>
      <c r="AJ46" s="5">
        <v>159</v>
      </c>
      <c r="AK46" s="5" t="s">
        <v>35</v>
      </c>
      <c r="AL46" s="5" t="s">
        <v>36</v>
      </c>
      <c r="AM46" s="5" t="s">
        <v>37</v>
      </c>
      <c r="AN46" s="5" t="s">
        <v>38</v>
      </c>
      <c r="AO46" s="5" t="s">
        <v>39</v>
      </c>
      <c r="AP46" s="5" t="s">
        <v>21</v>
      </c>
      <c r="AQ46" s="5" t="s">
        <v>40</v>
      </c>
      <c r="AR46" s="5" t="s">
        <v>41</v>
      </c>
      <c r="AS46" s="5" t="s">
        <v>543</v>
      </c>
      <c r="AT46" s="5">
        <v>2022</v>
      </c>
      <c r="AU46" s="5">
        <v>52</v>
      </c>
      <c r="AV46" s="5">
        <v>11</v>
      </c>
      <c r="AW46" s="5" t="s">
        <v>21</v>
      </c>
      <c r="AX46" s="5" t="s">
        <v>21</v>
      </c>
      <c r="AY46" s="5" t="s">
        <v>21</v>
      </c>
      <c r="AZ46" s="5" t="s">
        <v>21</v>
      </c>
      <c r="BA46" s="5">
        <v>4692</v>
      </c>
      <c r="BB46" s="5">
        <v>4707</v>
      </c>
      <c r="BC46" s="5" t="s">
        <v>21</v>
      </c>
      <c r="BD46" s="5" t="s">
        <v>967</v>
      </c>
      <c r="BE46" s="5" t="str">
        <f>HYPERLINK("http://dx.doi.org/10.1007/s10803-021-05338-5","http://dx.doi.org/10.1007/s10803-021-05338-5")</f>
        <v>http://dx.doi.org/10.1007/s10803-021-05338-5</v>
      </c>
      <c r="BF46" s="5" t="s">
        <v>21</v>
      </c>
      <c r="BG46" s="5" t="s">
        <v>968</v>
      </c>
      <c r="BH46" s="5">
        <v>16</v>
      </c>
      <c r="BI46" s="5" t="s">
        <v>44</v>
      </c>
      <c r="BJ46" s="5" t="s">
        <v>45</v>
      </c>
      <c r="BK46" s="5" t="s">
        <v>46</v>
      </c>
      <c r="BL46" s="5" t="s">
        <v>969</v>
      </c>
      <c r="BM46" s="5">
        <v>34783991</v>
      </c>
      <c r="BN46" s="5" t="s">
        <v>970</v>
      </c>
      <c r="BO46" s="5" t="s">
        <v>21</v>
      </c>
      <c r="BP46" s="5" t="s">
        <v>21</v>
      </c>
      <c r="BQ46" s="5" t="s">
        <v>49</v>
      </c>
      <c r="BR46" s="5" t="s">
        <v>971</v>
      </c>
      <c r="BS46" s="5" t="str">
        <f>HYPERLINK("https%3A%2F%2Fwww.webofscience.com%2Fwos%2Fwoscc%2Ffull-record%2FWOS:000719158600002","View Full Record in Web of Science")</f>
        <v>View Full Record in Web of Science</v>
      </c>
    </row>
    <row r="47" spans="1:71" x14ac:dyDescent="0.25">
      <c r="A47" t="s">
        <v>19</v>
      </c>
      <c r="B47" s="5" t="s">
        <v>972</v>
      </c>
      <c r="C47" s="5" t="s">
        <v>21</v>
      </c>
      <c r="D47" s="5" t="s">
        <v>21</v>
      </c>
      <c r="E47" s="5" t="s">
        <v>21</v>
      </c>
      <c r="F47" s="5" t="s">
        <v>973</v>
      </c>
      <c r="G47" s="5" t="s">
        <v>21</v>
      </c>
      <c r="H47" s="5" t="s">
        <v>21</v>
      </c>
      <c r="I47" s="5" t="s">
        <v>974</v>
      </c>
      <c r="J47" s="12" t="s">
        <v>975</v>
      </c>
      <c r="K47" s="5" t="s">
        <v>21</v>
      </c>
      <c r="L47" s="5" t="s">
        <v>21</v>
      </c>
      <c r="M47" s="5" t="s">
        <v>25</v>
      </c>
      <c r="N47" s="5" t="s">
        <v>76</v>
      </c>
      <c r="O47" s="5" t="s">
        <v>21</v>
      </c>
      <c r="P47" s="5" t="s">
        <v>21</v>
      </c>
      <c r="Q47" s="5" t="s">
        <v>21</v>
      </c>
      <c r="R47" s="5" t="s">
        <v>21</v>
      </c>
      <c r="S47" s="5" t="s">
        <v>21</v>
      </c>
      <c r="T47" s="5" t="s">
        <v>976</v>
      </c>
      <c r="U47" s="5" t="s">
        <v>977</v>
      </c>
      <c r="V47" s="5" t="s">
        <v>978</v>
      </c>
      <c r="W47" s="5" t="s">
        <v>979</v>
      </c>
      <c r="X47" s="5" t="s">
        <v>980</v>
      </c>
      <c r="Y47" s="5" t="s">
        <v>981</v>
      </c>
      <c r="Z47" s="5" t="s">
        <v>982</v>
      </c>
      <c r="AA47" s="5" t="s">
        <v>983</v>
      </c>
      <c r="AB47" s="5" t="s">
        <v>984</v>
      </c>
      <c r="AC47" s="5" t="s">
        <v>985</v>
      </c>
      <c r="AD47" s="5" t="s">
        <v>985</v>
      </c>
      <c r="AE47" s="5" t="s">
        <v>986</v>
      </c>
      <c r="AF47" s="5">
        <v>677</v>
      </c>
      <c r="AG47" s="5">
        <v>65</v>
      </c>
      <c r="AH47" s="5">
        <v>66</v>
      </c>
      <c r="AI47" s="5">
        <v>14</v>
      </c>
      <c r="AJ47" s="5">
        <v>55</v>
      </c>
      <c r="AK47" s="5" t="s">
        <v>110</v>
      </c>
      <c r="AL47" s="5" t="s">
        <v>84</v>
      </c>
      <c r="AM47" s="5" t="s">
        <v>111</v>
      </c>
      <c r="AN47" s="5" t="s">
        <v>987</v>
      </c>
      <c r="AO47" s="5" t="s">
        <v>988</v>
      </c>
      <c r="AP47" s="5" t="s">
        <v>21</v>
      </c>
      <c r="AQ47" s="5" t="s">
        <v>989</v>
      </c>
      <c r="AR47" s="5" t="s">
        <v>990</v>
      </c>
      <c r="AS47" s="5" t="s">
        <v>269</v>
      </c>
      <c r="AT47" s="5">
        <v>2022</v>
      </c>
      <c r="AU47" s="5">
        <v>98</v>
      </c>
      <c r="AV47" s="5" t="s">
        <v>21</v>
      </c>
      <c r="AW47" s="5" t="s">
        <v>21</v>
      </c>
      <c r="AX47" s="5" t="s">
        <v>21</v>
      </c>
      <c r="AY47" s="5" t="s">
        <v>21</v>
      </c>
      <c r="AZ47" s="5" t="s">
        <v>21</v>
      </c>
      <c r="BA47" s="5" t="s">
        <v>21</v>
      </c>
      <c r="BB47" s="5" t="s">
        <v>21</v>
      </c>
      <c r="BC47" s="5">
        <v>102213</v>
      </c>
      <c r="BD47" s="5" t="s">
        <v>991</v>
      </c>
      <c r="BE47" s="5" t="str">
        <f>HYPERLINK("http://dx.doi.org/10.1016/j.cpr.2022.102213","http://dx.doi.org/10.1016/j.cpr.2022.102213")</f>
        <v>http://dx.doi.org/10.1016/j.cpr.2022.102213</v>
      </c>
      <c r="BF47" s="5" t="s">
        <v>21</v>
      </c>
      <c r="BG47" s="5" t="s">
        <v>21</v>
      </c>
      <c r="BH47" s="5">
        <v>39</v>
      </c>
      <c r="BI47" s="5" t="s">
        <v>992</v>
      </c>
      <c r="BJ47" s="5" t="s">
        <v>45</v>
      </c>
      <c r="BK47" s="5" t="s">
        <v>46</v>
      </c>
      <c r="BL47" s="5" t="s">
        <v>993</v>
      </c>
      <c r="BM47" s="5">
        <v>36356351</v>
      </c>
      <c r="BN47" s="5" t="s">
        <v>970</v>
      </c>
      <c r="BO47" s="5" t="s">
        <v>21</v>
      </c>
      <c r="BP47" s="5" t="s">
        <v>21</v>
      </c>
      <c r="BQ47" s="5" t="s">
        <v>49</v>
      </c>
      <c r="BR47" s="5" t="s">
        <v>994</v>
      </c>
      <c r="BS47" s="5" t="str">
        <f>HYPERLINK("https%3A%2F%2Fwww.webofscience.com%2Fwos%2Fwoscc%2Ffull-record%2FWOS:001127263000003","View Full Record in Web of Science")</f>
        <v>View Full Record in Web of Science</v>
      </c>
    </row>
    <row r="48" spans="1:71" x14ac:dyDescent="0.25">
      <c r="A48" t="s">
        <v>19</v>
      </c>
      <c r="B48" s="5" t="s">
        <v>995</v>
      </c>
      <c r="C48" s="5" t="s">
        <v>21</v>
      </c>
      <c r="D48" s="5" t="s">
        <v>21</v>
      </c>
      <c r="E48" s="5" t="s">
        <v>21</v>
      </c>
      <c r="F48" s="5" t="s">
        <v>996</v>
      </c>
      <c r="G48" s="5" t="s">
        <v>21</v>
      </c>
      <c r="H48" s="5" t="s">
        <v>21</v>
      </c>
      <c r="I48" s="5" t="s">
        <v>997</v>
      </c>
      <c r="J48" s="12" t="s">
        <v>390</v>
      </c>
      <c r="K48" s="5" t="s">
        <v>21</v>
      </c>
      <c r="L48" s="5" t="s">
        <v>21</v>
      </c>
      <c r="M48" s="5" t="s">
        <v>25</v>
      </c>
      <c r="N48" s="5" t="s">
        <v>76</v>
      </c>
      <c r="O48" s="5" t="s">
        <v>21</v>
      </c>
      <c r="P48" s="5" t="s">
        <v>21</v>
      </c>
      <c r="Q48" s="5" t="s">
        <v>21</v>
      </c>
      <c r="R48" s="5" t="s">
        <v>21</v>
      </c>
      <c r="S48" s="5" t="s">
        <v>21</v>
      </c>
      <c r="T48" s="5" t="s">
        <v>998</v>
      </c>
      <c r="U48" s="5" t="s">
        <v>999</v>
      </c>
      <c r="V48" s="5" t="s">
        <v>1000</v>
      </c>
      <c r="W48" s="5" t="s">
        <v>1001</v>
      </c>
      <c r="X48" s="5" t="s">
        <v>1002</v>
      </c>
      <c r="Y48" s="5" t="s">
        <v>1003</v>
      </c>
      <c r="Z48" s="5" t="s">
        <v>1004</v>
      </c>
      <c r="AA48" s="5" t="s">
        <v>1005</v>
      </c>
      <c r="AB48" s="5" t="s">
        <v>1006</v>
      </c>
      <c r="AC48" s="5" t="s">
        <v>21</v>
      </c>
      <c r="AD48" s="5" t="s">
        <v>21</v>
      </c>
      <c r="AE48" s="5" t="s">
        <v>21</v>
      </c>
      <c r="AF48" s="5">
        <v>48</v>
      </c>
      <c r="AG48" s="5">
        <v>65</v>
      </c>
      <c r="AH48" s="5">
        <v>70</v>
      </c>
      <c r="AI48" s="5">
        <v>7</v>
      </c>
      <c r="AJ48" s="5">
        <v>67</v>
      </c>
      <c r="AK48" s="5" t="s">
        <v>193</v>
      </c>
      <c r="AL48" s="5" t="s">
        <v>194</v>
      </c>
      <c r="AM48" s="5" t="s">
        <v>195</v>
      </c>
      <c r="AN48" s="5" t="s">
        <v>21</v>
      </c>
      <c r="AO48" s="5" t="s">
        <v>402</v>
      </c>
      <c r="AP48" s="5" t="s">
        <v>21</v>
      </c>
      <c r="AQ48" s="5" t="s">
        <v>403</v>
      </c>
      <c r="AR48" s="5" t="s">
        <v>404</v>
      </c>
      <c r="AS48" s="5" t="s">
        <v>116</v>
      </c>
      <c r="AT48" s="5">
        <v>2020</v>
      </c>
      <c r="AU48" s="5">
        <v>17</v>
      </c>
      <c r="AV48" s="5">
        <v>17</v>
      </c>
      <c r="AW48" s="5" t="s">
        <v>21</v>
      </c>
      <c r="AX48" s="5" t="s">
        <v>21</v>
      </c>
      <c r="AY48" s="5" t="s">
        <v>21</v>
      </c>
      <c r="AZ48" s="5" t="s">
        <v>21</v>
      </c>
      <c r="BA48" s="5" t="s">
        <v>21</v>
      </c>
      <c r="BB48" s="5" t="s">
        <v>21</v>
      </c>
      <c r="BC48" s="5">
        <v>6143</v>
      </c>
      <c r="BD48" s="5" t="s">
        <v>1007</v>
      </c>
      <c r="BE48" s="5" t="str">
        <f>HYPERLINK("http://dx.doi.org/10.3390/ijerph17176143","http://dx.doi.org/10.3390/ijerph17176143")</f>
        <v>http://dx.doi.org/10.3390/ijerph17176143</v>
      </c>
      <c r="BF48" s="5" t="s">
        <v>21</v>
      </c>
      <c r="BG48" s="5" t="s">
        <v>21</v>
      </c>
      <c r="BH48" s="5">
        <v>15</v>
      </c>
      <c r="BI48" s="5" t="s">
        <v>406</v>
      </c>
      <c r="BJ48" s="5" t="s">
        <v>92</v>
      </c>
      <c r="BK48" s="5" t="s">
        <v>407</v>
      </c>
      <c r="BL48" s="5" t="s">
        <v>1008</v>
      </c>
      <c r="BM48" s="5">
        <v>32847074</v>
      </c>
      <c r="BN48" s="5" t="s">
        <v>864</v>
      </c>
      <c r="BO48" s="5" t="s">
        <v>21</v>
      </c>
      <c r="BP48" s="5" t="s">
        <v>21</v>
      </c>
      <c r="BQ48" s="5" t="s">
        <v>49</v>
      </c>
      <c r="BR48" s="5" t="s">
        <v>1009</v>
      </c>
      <c r="BS48" s="5" t="str">
        <f>HYPERLINK("https%3A%2F%2Fwww.webofscience.com%2Fwos%2Fwoscc%2Ffull-record%2FWOS:000569722900001","View Full Record in Web of Science")</f>
        <v>View Full Record in Web of Science</v>
      </c>
    </row>
    <row r="49" spans="1:71" x14ac:dyDescent="0.25">
      <c r="A49" t="s">
        <v>19</v>
      </c>
      <c r="B49" s="5" t="s">
        <v>1010</v>
      </c>
      <c r="C49" s="5" t="s">
        <v>21</v>
      </c>
      <c r="D49" s="5" t="s">
        <v>21</v>
      </c>
      <c r="E49" s="5" t="s">
        <v>21</v>
      </c>
      <c r="F49" s="5" t="s">
        <v>1011</v>
      </c>
      <c r="G49" s="5" t="s">
        <v>21</v>
      </c>
      <c r="H49" s="5" t="s">
        <v>21</v>
      </c>
      <c r="I49" s="5" t="s">
        <v>1012</v>
      </c>
      <c r="J49" s="12" t="s">
        <v>1013</v>
      </c>
      <c r="K49" s="5" t="s">
        <v>21</v>
      </c>
      <c r="L49" s="5" t="s">
        <v>21</v>
      </c>
      <c r="M49" s="5" t="s">
        <v>25</v>
      </c>
      <c r="N49" s="5" t="s">
        <v>26</v>
      </c>
      <c r="O49" s="5" t="s">
        <v>21</v>
      </c>
      <c r="P49" s="5" t="s">
        <v>21</v>
      </c>
      <c r="Q49" s="5" t="s">
        <v>21</v>
      </c>
      <c r="R49" s="5" t="s">
        <v>21</v>
      </c>
      <c r="S49" s="5" t="s">
        <v>21</v>
      </c>
      <c r="T49" s="5" t="s">
        <v>1014</v>
      </c>
      <c r="U49" s="5" t="s">
        <v>21</v>
      </c>
      <c r="V49" s="5" t="s">
        <v>1015</v>
      </c>
      <c r="W49" s="5" t="s">
        <v>1016</v>
      </c>
      <c r="X49" s="5" t="s">
        <v>1017</v>
      </c>
      <c r="Y49" s="5" t="s">
        <v>1018</v>
      </c>
      <c r="Z49" s="5" t="s">
        <v>634</v>
      </c>
      <c r="AA49" s="5" t="s">
        <v>21</v>
      </c>
      <c r="AB49" s="5" t="s">
        <v>21</v>
      </c>
      <c r="AC49" s="5" t="s">
        <v>21</v>
      </c>
      <c r="AD49" s="5" t="s">
        <v>21</v>
      </c>
      <c r="AE49" s="5" t="s">
        <v>21</v>
      </c>
      <c r="AF49" s="5">
        <v>16</v>
      </c>
      <c r="AG49" s="5">
        <v>65</v>
      </c>
      <c r="AH49" s="5">
        <v>69</v>
      </c>
      <c r="AI49" s="5">
        <v>3</v>
      </c>
      <c r="AJ49" s="5">
        <v>44</v>
      </c>
      <c r="AK49" s="5" t="s">
        <v>349</v>
      </c>
      <c r="AL49" s="5" t="s">
        <v>350</v>
      </c>
      <c r="AM49" s="5" t="s">
        <v>351</v>
      </c>
      <c r="AN49" s="5" t="s">
        <v>1019</v>
      </c>
      <c r="AO49" s="5" t="s">
        <v>1020</v>
      </c>
      <c r="AP49" s="5" t="s">
        <v>21</v>
      </c>
      <c r="AQ49" s="5" t="s">
        <v>1021</v>
      </c>
      <c r="AR49" s="5" t="s">
        <v>1022</v>
      </c>
      <c r="AS49" s="5" t="s">
        <v>1023</v>
      </c>
      <c r="AT49" s="5">
        <v>2020</v>
      </c>
      <c r="AU49" s="5">
        <v>23</v>
      </c>
      <c r="AV49" s="5">
        <v>1</v>
      </c>
      <c r="AW49" s="5" t="s">
        <v>21</v>
      </c>
      <c r="AX49" s="5" t="s">
        <v>21</v>
      </c>
      <c r="AY49" s="5" t="s">
        <v>21</v>
      </c>
      <c r="AZ49" s="5" t="s">
        <v>21</v>
      </c>
      <c r="BA49" s="5">
        <v>23</v>
      </c>
      <c r="BB49" s="5">
        <v>33</v>
      </c>
      <c r="BC49" s="5" t="s">
        <v>21</v>
      </c>
      <c r="BD49" s="5" t="s">
        <v>1024</v>
      </c>
      <c r="BE49" s="5" t="str">
        <f>HYPERLINK("http://dx.doi.org/10.1089/cyber.2019.0206","http://dx.doi.org/10.1089/cyber.2019.0206")</f>
        <v>http://dx.doi.org/10.1089/cyber.2019.0206</v>
      </c>
      <c r="BF49" s="5" t="s">
        <v>21</v>
      </c>
      <c r="BG49" s="5" t="s">
        <v>1025</v>
      </c>
      <c r="BH49" s="5">
        <v>11</v>
      </c>
      <c r="BI49" s="5" t="s">
        <v>1026</v>
      </c>
      <c r="BJ49" s="5" t="s">
        <v>45</v>
      </c>
      <c r="BK49" s="5" t="s">
        <v>46</v>
      </c>
      <c r="BL49" s="5" t="s">
        <v>1027</v>
      </c>
      <c r="BM49" s="5">
        <v>31502866</v>
      </c>
      <c r="BN49" s="5" t="s">
        <v>95</v>
      </c>
      <c r="BO49" s="5" t="s">
        <v>21</v>
      </c>
      <c r="BP49" s="5" t="s">
        <v>21</v>
      </c>
      <c r="BQ49" s="5" t="s">
        <v>49</v>
      </c>
      <c r="BR49" s="5" t="s">
        <v>1028</v>
      </c>
      <c r="BS49" s="5" t="str">
        <f>HYPERLINK("https%3A%2F%2Fwww.webofscience.com%2Fwos%2Fwoscc%2Ffull-record%2FWOS:000486097400001","View Full Record in Web of Science")</f>
        <v>View Full Record in Web of Science</v>
      </c>
    </row>
    <row r="50" spans="1:71" x14ac:dyDescent="0.25">
      <c r="A50" t="s">
        <v>19</v>
      </c>
      <c r="B50" s="5" t="s">
        <v>1029</v>
      </c>
      <c r="C50" s="5" t="s">
        <v>21</v>
      </c>
      <c r="D50" s="5" t="s">
        <v>21</v>
      </c>
      <c r="E50" s="5" t="s">
        <v>21</v>
      </c>
      <c r="F50" s="5" t="s">
        <v>1030</v>
      </c>
      <c r="G50" s="5" t="s">
        <v>21</v>
      </c>
      <c r="H50" s="5" t="s">
        <v>21</v>
      </c>
      <c r="I50" s="5" t="s">
        <v>1031</v>
      </c>
      <c r="J50" s="12" t="s">
        <v>894</v>
      </c>
      <c r="K50" s="5" t="s">
        <v>21</v>
      </c>
      <c r="L50" s="5" t="s">
        <v>21</v>
      </c>
      <c r="M50" s="5" t="s">
        <v>25</v>
      </c>
      <c r="N50" s="5" t="s">
        <v>76</v>
      </c>
      <c r="O50" s="5" t="s">
        <v>21</v>
      </c>
      <c r="P50" s="5" t="s">
        <v>21</v>
      </c>
      <c r="Q50" s="5" t="s">
        <v>21</v>
      </c>
      <c r="R50" s="5" t="s">
        <v>21</v>
      </c>
      <c r="S50" s="5" t="s">
        <v>21</v>
      </c>
      <c r="T50" s="5" t="s">
        <v>1032</v>
      </c>
      <c r="U50" s="5" t="s">
        <v>1033</v>
      </c>
      <c r="V50" s="5" t="s">
        <v>1034</v>
      </c>
      <c r="W50" s="5" t="s">
        <v>1035</v>
      </c>
      <c r="X50" s="5" t="s">
        <v>899</v>
      </c>
      <c r="Y50" s="5" t="s">
        <v>900</v>
      </c>
      <c r="Z50" s="5" t="s">
        <v>1036</v>
      </c>
      <c r="AA50" s="5" t="s">
        <v>1037</v>
      </c>
      <c r="AB50" s="5" t="s">
        <v>1038</v>
      </c>
      <c r="AC50" s="5" t="s">
        <v>21</v>
      </c>
      <c r="AD50" s="5" t="s">
        <v>21</v>
      </c>
      <c r="AE50" s="5" t="s">
        <v>21</v>
      </c>
      <c r="AF50" s="5">
        <v>58</v>
      </c>
      <c r="AG50" s="5">
        <v>65</v>
      </c>
      <c r="AH50" s="5">
        <v>69</v>
      </c>
      <c r="AI50" s="5">
        <v>2</v>
      </c>
      <c r="AJ50" s="5">
        <v>50</v>
      </c>
      <c r="AK50" s="5" t="s">
        <v>904</v>
      </c>
      <c r="AL50" s="5" t="s">
        <v>36</v>
      </c>
      <c r="AM50" s="5" t="s">
        <v>905</v>
      </c>
      <c r="AN50" s="5" t="s">
        <v>906</v>
      </c>
      <c r="AO50" s="5" t="s">
        <v>907</v>
      </c>
      <c r="AP50" s="5" t="s">
        <v>21</v>
      </c>
      <c r="AQ50" s="5" t="s">
        <v>908</v>
      </c>
      <c r="AR50" s="5" t="s">
        <v>909</v>
      </c>
      <c r="AS50" s="5" t="s">
        <v>42</v>
      </c>
      <c r="AT50" s="5">
        <v>2019</v>
      </c>
      <c r="AU50" s="5">
        <v>24</v>
      </c>
      <c r="AV50" s="5">
        <v>1</v>
      </c>
      <c r="AW50" s="5" t="s">
        <v>21</v>
      </c>
      <c r="AX50" s="5" t="s">
        <v>21</v>
      </c>
      <c r="AY50" s="5" t="s">
        <v>21</v>
      </c>
      <c r="AZ50" s="5" t="s">
        <v>21</v>
      </c>
      <c r="BA50" s="5">
        <v>127</v>
      </c>
      <c r="BB50" s="5">
        <v>151</v>
      </c>
      <c r="BC50" s="5" t="s">
        <v>21</v>
      </c>
      <c r="BD50" s="5" t="s">
        <v>1039</v>
      </c>
      <c r="BE50" s="5" t="str">
        <f>HYPERLINK("http://dx.doi.org/10.1007/s10639-018-9766-7","http://dx.doi.org/10.1007/s10639-018-9766-7")</f>
        <v>http://dx.doi.org/10.1007/s10639-018-9766-7</v>
      </c>
      <c r="BF50" s="5" t="s">
        <v>21</v>
      </c>
      <c r="BG50" s="5" t="s">
        <v>21</v>
      </c>
      <c r="BH50" s="5">
        <v>25</v>
      </c>
      <c r="BI50" s="5" t="s">
        <v>503</v>
      </c>
      <c r="BJ50" s="5" t="s">
        <v>45</v>
      </c>
      <c r="BK50" s="5" t="s">
        <v>503</v>
      </c>
      <c r="BL50" s="5" t="s">
        <v>1040</v>
      </c>
      <c r="BM50" s="5" t="s">
        <v>21</v>
      </c>
      <c r="BN50" s="5" t="s">
        <v>21</v>
      </c>
      <c r="BO50" s="5" t="s">
        <v>21</v>
      </c>
      <c r="BP50" s="5" t="s">
        <v>21</v>
      </c>
      <c r="BQ50" s="5" t="s">
        <v>49</v>
      </c>
      <c r="BR50" s="5" t="s">
        <v>1041</v>
      </c>
      <c r="BS50" s="5" t="str">
        <f>HYPERLINK("https%3A%2F%2Fwww.webofscience.com%2Fwos%2Fwoscc%2Ffull-record%2FWOS:000458250700007","View Full Record in Web of Science")</f>
        <v>View Full Record in Web of Science</v>
      </c>
    </row>
    <row r="51" spans="1:71" x14ac:dyDescent="0.25">
      <c r="A51" t="s">
        <v>19</v>
      </c>
      <c r="B51" s="5" t="s">
        <v>1042</v>
      </c>
      <c r="C51" s="5" t="s">
        <v>21</v>
      </c>
      <c r="D51" s="5" t="s">
        <v>21</v>
      </c>
      <c r="E51" s="5" t="s">
        <v>21</v>
      </c>
      <c r="F51" s="5" t="s">
        <v>1042</v>
      </c>
      <c r="G51" s="5" t="s">
        <v>21</v>
      </c>
      <c r="H51" s="5" t="s">
        <v>21</v>
      </c>
      <c r="I51" s="5" t="s">
        <v>1043</v>
      </c>
      <c r="J51" s="12" t="s">
        <v>340</v>
      </c>
      <c r="K51" s="5" t="s">
        <v>21</v>
      </c>
      <c r="L51" s="5" t="s">
        <v>21</v>
      </c>
      <c r="M51" s="5" t="s">
        <v>25</v>
      </c>
      <c r="N51" s="5" t="s">
        <v>236</v>
      </c>
      <c r="O51" s="5" t="s">
        <v>1044</v>
      </c>
      <c r="P51" s="5" t="s">
        <v>1045</v>
      </c>
      <c r="Q51" s="5" t="s">
        <v>1046</v>
      </c>
      <c r="R51" s="5" t="s">
        <v>21</v>
      </c>
      <c r="S51" s="5" t="s">
        <v>21</v>
      </c>
      <c r="T51" s="5" t="s">
        <v>21</v>
      </c>
      <c r="U51" s="5" t="s">
        <v>1047</v>
      </c>
      <c r="V51" s="5" t="s">
        <v>1048</v>
      </c>
      <c r="W51" s="5" t="s">
        <v>1049</v>
      </c>
      <c r="X51" s="5" t="s">
        <v>1050</v>
      </c>
      <c r="Y51" s="5" t="s">
        <v>1051</v>
      </c>
      <c r="Z51" s="5" t="s">
        <v>21</v>
      </c>
      <c r="AA51" s="5" t="s">
        <v>21</v>
      </c>
      <c r="AB51" s="5" t="s">
        <v>21</v>
      </c>
      <c r="AC51" s="5" t="s">
        <v>21</v>
      </c>
      <c r="AD51" s="5" t="s">
        <v>21</v>
      </c>
      <c r="AE51" s="5" t="s">
        <v>21</v>
      </c>
      <c r="AF51" s="5">
        <v>22</v>
      </c>
      <c r="AG51" s="5">
        <v>65</v>
      </c>
      <c r="AH51" s="5">
        <v>77</v>
      </c>
      <c r="AI51" s="5">
        <v>0</v>
      </c>
      <c r="AJ51" s="5">
        <v>31</v>
      </c>
      <c r="AK51" s="5" t="s">
        <v>1052</v>
      </c>
      <c r="AL51" s="5" t="s">
        <v>1053</v>
      </c>
      <c r="AM51" s="5" t="s">
        <v>1054</v>
      </c>
      <c r="AN51" s="5" t="s">
        <v>352</v>
      </c>
      <c r="AO51" s="5" t="s">
        <v>21</v>
      </c>
      <c r="AP51" s="5" t="s">
        <v>21</v>
      </c>
      <c r="AQ51" s="5" t="s">
        <v>353</v>
      </c>
      <c r="AR51" s="5" t="s">
        <v>354</v>
      </c>
      <c r="AS51" s="5" t="s">
        <v>89</v>
      </c>
      <c r="AT51" s="5">
        <v>2002</v>
      </c>
      <c r="AU51" s="5">
        <v>5</v>
      </c>
      <c r="AV51" s="5">
        <v>3</v>
      </c>
      <c r="AW51" s="5" t="s">
        <v>21</v>
      </c>
      <c r="AX51" s="5" t="s">
        <v>21</v>
      </c>
      <c r="AY51" s="5" t="s">
        <v>21</v>
      </c>
      <c r="AZ51" s="5" t="s">
        <v>21</v>
      </c>
      <c r="BA51" s="5">
        <v>213</v>
      </c>
      <c r="BB51" s="5">
        <v>217</v>
      </c>
      <c r="BC51" s="5" t="s">
        <v>21</v>
      </c>
      <c r="BD51" s="5" t="s">
        <v>1055</v>
      </c>
      <c r="BE51" s="5" t="str">
        <f>HYPERLINK("http://dx.doi.org/10.1089/109493102760147204","http://dx.doi.org/10.1089/109493102760147204")</f>
        <v>http://dx.doi.org/10.1089/109493102760147204</v>
      </c>
      <c r="BF51" s="5" t="s">
        <v>21</v>
      </c>
      <c r="BG51" s="5" t="s">
        <v>21</v>
      </c>
      <c r="BH51" s="5">
        <v>5</v>
      </c>
      <c r="BI51" s="5" t="s">
        <v>356</v>
      </c>
      <c r="BJ51" s="5" t="s">
        <v>1056</v>
      </c>
      <c r="BK51" s="5" t="s">
        <v>357</v>
      </c>
      <c r="BL51" s="5" t="s">
        <v>1057</v>
      </c>
      <c r="BM51" s="5">
        <v>12123243</v>
      </c>
      <c r="BN51" s="5" t="s">
        <v>21</v>
      </c>
      <c r="BO51" s="5" t="s">
        <v>21</v>
      </c>
      <c r="BP51" s="5" t="s">
        <v>21</v>
      </c>
      <c r="BQ51" s="5" t="s">
        <v>49</v>
      </c>
      <c r="BR51" s="5" t="s">
        <v>1058</v>
      </c>
      <c r="BS51" s="5" t="str">
        <f>HYPERLINK("https%3A%2F%2Fwww.webofscience.com%2Fwos%2Fwoscc%2Ffull-record%2FWOS:000176554400007","View Full Record in Web of Science")</f>
        <v>View Full Record in Web of Science</v>
      </c>
    </row>
    <row r="52" spans="1:71" x14ac:dyDescent="0.25">
      <c r="A52" t="s">
        <v>19</v>
      </c>
      <c r="B52" s="5" t="s">
        <v>1059</v>
      </c>
      <c r="C52" s="5" t="s">
        <v>21</v>
      </c>
      <c r="D52" s="5" t="s">
        <v>21</v>
      </c>
      <c r="E52" s="5" t="s">
        <v>21</v>
      </c>
      <c r="F52" s="5" t="s">
        <v>1060</v>
      </c>
      <c r="G52" s="5" t="s">
        <v>21</v>
      </c>
      <c r="H52" s="5" t="s">
        <v>21</v>
      </c>
      <c r="I52" s="5" t="s">
        <v>1061</v>
      </c>
      <c r="J52" s="12" t="s">
        <v>24</v>
      </c>
      <c r="K52" s="5" t="s">
        <v>21</v>
      </c>
      <c r="L52" s="5" t="s">
        <v>21</v>
      </c>
      <c r="M52" s="5" t="s">
        <v>25</v>
      </c>
      <c r="N52" s="5" t="s">
        <v>26</v>
      </c>
      <c r="O52" s="5" t="s">
        <v>21</v>
      </c>
      <c r="P52" s="5" t="s">
        <v>21</v>
      </c>
      <c r="Q52" s="5" t="s">
        <v>21</v>
      </c>
      <c r="R52" s="5" t="s">
        <v>21</v>
      </c>
      <c r="S52" s="5" t="s">
        <v>21</v>
      </c>
      <c r="T52" s="5" t="s">
        <v>1062</v>
      </c>
      <c r="U52" s="5" t="s">
        <v>1063</v>
      </c>
      <c r="V52" s="5" t="s">
        <v>1064</v>
      </c>
      <c r="W52" s="5" t="s">
        <v>1065</v>
      </c>
      <c r="X52" s="5" t="s">
        <v>1066</v>
      </c>
      <c r="Y52" s="5" t="s">
        <v>1067</v>
      </c>
      <c r="Z52" s="5" t="s">
        <v>1068</v>
      </c>
      <c r="AA52" s="5" t="s">
        <v>1069</v>
      </c>
      <c r="AB52" s="5" t="s">
        <v>1070</v>
      </c>
      <c r="AC52" s="5" t="s">
        <v>1071</v>
      </c>
      <c r="AD52" s="5" t="s">
        <v>1072</v>
      </c>
      <c r="AE52" s="5" t="s">
        <v>1073</v>
      </c>
      <c r="AF52" s="5">
        <v>46</v>
      </c>
      <c r="AG52" s="5">
        <v>64</v>
      </c>
      <c r="AH52" s="5">
        <v>74</v>
      </c>
      <c r="AI52" s="5">
        <v>8</v>
      </c>
      <c r="AJ52" s="5">
        <v>84</v>
      </c>
      <c r="AK52" s="5" t="s">
        <v>35</v>
      </c>
      <c r="AL52" s="5" t="s">
        <v>36</v>
      </c>
      <c r="AM52" s="5" t="s">
        <v>37</v>
      </c>
      <c r="AN52" s="5" t="s">
        <v>38</v>
      </c>
      <c r="AO52" s="5" t="s">
        <v>39</v>
      </c>
      <c r="AP52" s="5" t="s">
        <v>21</v>
      </c>
      <c r="AQ52" s="5" t="s">
        <v>40</v>
      </c>
      <c r="AR52" s="5" t="s">
        <v>41</v>
      </c>
      <c r="AS52" s="5" t="s">
        <v>69</v>
      </c>
      <c r="AT52" s="5">
        <v>2019</v>
      </c>
      <c r="AU52" s="5">
        <v>49</v>
      </c>
      <c r="AV52" s="5">
        <v>5</v>
      </c>
      <c r="AW52" s="5" t="s">
        <v>21</v>
      </c>
      <c r="AX52" s="5" t="s">
        <v>21</v>
      </c>
      <c r="AY52" s="5" t="s">
        <v>21</v>
      </c>
      <c r="AZ52" s="5" t="s">
        <v>21</v>
      </c>
      <c r="BA52" s="5">
        <v>1912</v>
      </c>
      <c r="BB52" s="5">
        <v>1927</v>
      </c>
      <c r="BC52" s="5" t="s">
        <v>21</v>
      </c>
      <c r="BD52" s="5" t="s">
        <v>1074</v>
      </c>
      <c r="BE52" s="5" t="str">
        <f>HYPERLINK("http://dx.doi.org/10.1007/s10803-018-3861-x","http://dx.doi.org/10.1007/s10803-018-3861-x")</f>
        <v>http://dx.doi.org/10.1007/s10803-018-3861-x</v>
      </c>
      <c r="BF52" s="5" t="s">
        <v>21</v>
      </c>
      <c r="BG52" s="5" t="s">
        <v>21</v>
      </c>
      <c r="BH52" s="5">
        <v>16</v>
      </c>
      <c r="BI52" s="5" t="s">
        <v>44</v>
      </c>
      <c r="BJ52" s="5" t="s">
        <v>45</v>
      </c>
      <c r="BK52" s="5" t="s">
        <v>46</v>
      </c>
      <c r="BL52" s="5" t="s">
        <v>1075</v>
      </c>
      <c r="BM52" s="5">
        <v>30767156</v>
      </c>
      <c r="BN52" s="5" t="s">
        <v>1076</v>
      </c>
      <c r="BO52" s="5" t="s">
        <v>21</v>
      </c>
      <c r="BP52" s="5" t="s">
        <v>21</v>
      </c>
      <c r="BQ52" s="5" t="s">
        <v>49</v>
      </c>
      <c r="BR52" s="5" t="s">
        <v>1077</v>
      </c>
      <c r="BS52" s="5" t="str">
        <f>HYPERLINK("https%3A%2F%2Fwww.webofscience.com%2Fwos%2Fwoscc%2Ffull-record%2FWOS:000466001300013","View Full Record in Web of Science")</f>
        <v>View Full Record in Web of Science</v>
      </c>
    </row>
    <row r="53" spans="1:71" x14ac:dyDescent="0.25">
      <c r="A53" t="s">
        <v>19</v>
      </c>
      <c r="B53" s="5" t="s">
        <v>1078</v>
      </c>
      <c r="C53" s="5" t="s">
        <v>21</v>
      </c>
      <c r="D53" s="5" t="s">
        <v>21</v>
      </c>
      <c r="E53" s="5" t="s">
        <v>21</v>
      </c>
      <c r="F53" s="5" t="s">
        <v>1079</v>
      </c>
      <c r="G53" s="5" t="s">
        <v>21</v>
      </c>
      <c r="H53" s="5" t="s">
        <v>21</v>
      </c>
      <c r="I53" s="5" t="s">
        <v>1080</v>
      </c>
      <c r="J53" s="12" t="s">
        <v>646</v>
      </c>
      <c r="K53" s="5" t="s">
        <v>21</v>
      </c>
      <c r="L53" s="5" t="s">
        <v>21</v>
      </c>
      <c r="M53" s="5" t="s">
        <v>25</v>
      </c>
      <c r="N53" s="5" t="s">
        <v>26</v>
      </c>
      <c r="O53" s="5" t="s">
        <v>21</v>
      </c>
      <c r="P53" s="5" t="s">
        <v>21</v>
      </c>
      <c r="Q53" s="5" t="s">
        <v>21</v>
      </c>
      <c r="R53" s="5" t="s">
        <v>21</v>
      </c>
      <c r="S53" s="5" t="s">
        <v>21</v>
      </c>
      <c r="T53" s="5" t="s">
        <v>1081</v>
      </c>
      <c r="U53" s="5" t="s">
        <v>1082</v>
      </c>
      <c r="V53" s="5" t="s">
        <v>1083</v>
      </c>
      <c r="W53" s="5" t="s">
        <v>1084</v>
      </c>
      <c r="X53" s="5" t="s">
        <v>1085</v>
      </c>
      <c r="Y53" s="5" t="s">
        <v>1086</v>
      </c>
      <c r="Z53" s="5" t="s">
        <v>1087</v>
      </c>
      <c r="AA53" s="5" t="s">
        <v>654</v>
      </c>
      <c r="AB53" s="5" t="s">
        <v>924</v>
      </c>
      <c r="AC53" s="5" t="s">
        <v>1088</v>
      </c>
      <c r="AD53" s="5" t="s">
        <v>1089</v>
      </c>
      <c r="AE53" s="5" t="s">
        <v>1090</v>
      </c>
      <c r="AF53" s="5">
        <v>42</v>
      </c>
      <c r="AG53" s="5">
        <v>64</v>
      </c>
      <c r="AH53" s="5">
        <v>70</v>
      </c>
      <c r="AI53" s="5">
        <v>8</v>
      </c>
      <c r="AJ53" s="5">
        <v>94</v>
      </c>
      <c r="AK53" s="5" t="s">
        <v>659</v>
      </c>
      <c r="AL53" s="5" t="s">
        <v>660</v>
      </c>
      <c r="AM53" s="5" t="s">
        <v>661</v>
      </c>
      <c r="AN53" s="5" t="s">
        <v>662</v>
      </c>
      <c r="AO53" s="5" t="s">
        <v>663</v>
      </c>
      <c r="AP53" s="5" t="s">
        <v>21</v>
      </c>
      <c r="AQ53" s="5" t="s">
        <v>664</v>
      </c>
      <c r="AR53" s="5" t="s">
        <v>665</v>
      </c>
      <c r="AS53" s="5" t="s">
        <v>199</v>
      </c>
      <c r="AT53" s="5">
        <v>2011</v>
      </c>
      <c r="AU53" s="5">
        <v>19</v>
      </c>
      <c r="AV53" s="5">
        <v>4</v>
      </c>
      <c r="AW53" s="5" t="s">
        <v>21</v>
      </c>
      <c r="AX53" s="5" t="s">
        <v>21</v>
      </c>
      <c r="AY53" s="5" t="s">
        <v>21</v>
      </c>
      <c r="AZ53" s="5" t="s">
        <v>21</v>
      </c>
      <c r="BA53" s="5">
        <v>443</v>
      </c>
      <c r="BB53" s="5">
        <v>452</v>
      </c>
      <c r="BC53" s="5" t="s">
        <v>21</v>
      </c>
      <c r="BD53" s="5" t="s">
        <v>1091</v>
      </c>
      <c r="BE53" s="5" t="str">
        <f>HYPERLINK("http://dx.doi.org/10.1109/TNSRE.2011.2153874","http://dx.doi.org/10.1109/TNSRE.2011.2153874")</f>
        <v>http://dx.doi.org/10.1109/TNSRE.2011.2153874</v>
      </c>
      <c r="BF53" s="5" t="s">
        <v>21</v>
      </c>
      <c r="BG53" s="5" t="s">
        <v>21</v>
      </c>
      <c r="BH53" s="5">
        <v>10</v>
      </c>
      <c r="BI53" s="5" t="s">
        <v>667</v>
      </c>
      <c r="BJ53" s="5" t="s">
        <v>92</v>
      </c>
      <c r="BK53" s="5" t="s">
        <v>668</v>
      </c>
      <c r="BL53" s="5" t="s">
        <v>1092</v>
      </c>
      <c r="BM53" s="5">
        <v>21609889</v>
      </c>
      <c r="BN53" s="5" t="s">
        <v>137</v>
      </c>
      <c r="BO53" s="5" t="s">
        <v>21</v>
      </c>
      <c r="BP53" s="5" t="s">
        <v>21</v>
      </c>
      <c r="BQ53" s="5" t="s">
        <v>49</v>
      </c>
      <c r="BR53" s="5" t="s">
        <v>1093</v>
      </c>
      <c r="BS53" s="5" t="str">
        <f>HYPERLINK("https%3A%2F%2Fwww.webofscience.com%2Fwos%2Fwoscc%2Ffull-record%2FWOS:000293754800013","View Full Record in Web of Science")</f>
        <v>View Full Record in Web of Science</v>
      </c>
    </row>
    <row r="54" spans="1:71" x14ac:dyDescent="0.25">
      <c r="A54" t="s">
        <v>19</v>
      </c>
      <c r="B54" s="5" t="s">
        <v>1094</v>
      </c>
      <c r="C54" s="5" t="s">
        <v>21</v>
      </c>
      <c r="D54" s="5" t="s">
        <v>21</v>
      </c>
      <c r="E54" s="5" t="s">
        <v>21</v>
      </c>
      <c r="F54" s="5" t="s">
        <v>1095</v>
      </c>
      <c r="G54" s="5" t="s">
        <v>21</v>
      </c>
      <c r="H54" s="5" t="s">
        <v>21</v>
      </c>
      <c r="I54" s="5" t="s">
        <v>1096</v>
      </c>
      <c r="J54" s="12" t="s">
        <v>1097</v>
      </c>
      <c r="K54" s="5" t="s">
        <v>21</v>
      </c>
      <c r="L54" s="5" t="s">
        <v>21</v>
      </c>
      <c r="M54" s="5" t="s">
        <v>25</v>
      </c>
      <c r="N54" s="5" t="s">
        <v>26</v>
      </c>
      <c r="O54" s="5" t="s">
        <v>21</v>
      </c>
      <c r="P54" s="5" t="s">
        <v>21</v>
      </c>
      <c r="Q54" s="5" t="s">
        <v>21</v>
      </c>
      <c r="R54" s="5" t="s">
        <v>21</v>
      </c>
      <c r="S54" s="5" t="s">
        <v>21</v>
      </c>
      <c r="T54" s="5" t="s">
        <v>1098</v>
      </c>
      <c r="U54" s="5" t="s">
        <v>1099</v>
      </c>
      <c r="V54" s="5" t="s">
        <v>1100</v>
      </c>
      <c r="W54" s="5" t="s">
        <v>1101</v>
      </c>
      <c r="X54" s="5" t="s">
        <v>1102</v>
      </c>
      <c r="Y54" s="5" t="s">
        <v>1103</v>
      </c>
      <c r="Z54" s="5" t="s">
        <v>1104</v>
      </c>
      <c r="AA54" s="5" t="s">
        <v>1105</v>
      </c>
      <c r="AB54" s="5" t="s">
        <v>1106</v>
      </c>
      <c r="AC54" s="5" t="s">
        <v>1107</v>
      </c>
      <c r="AD54" s="5" t="s">
        <v>1108</v>
      </c>
      <c r="AE54" s="5" t="s">
        <v>1109</v>
      </c>
      <c r="AF54" s="5">
        <v>47</v>
      </c>
      <c r="AG54" s="5">
        <v>60</v>
      </c>
      <c r="AH54" s="5">
        <v>69</v>
      </c>
      <c r="AI54" s="5">
        <v>14</v>
      </c>
      <c r="AJ54" s="5">
        <v>169</v>
      </c>
      <c r="AK54" s="5" t="s">
        <v>659</v>
      </c>
      <c r="AL54" s="5" t="s">
        <v>660</v>
      </c>
      <c r="AM54" s="5" t="s">
        <v>661</v>
      </c>
      <c r="AN54" s="5" t="s">
        <v>1110</v>
      </c>
      <c r="AO54" s="5" t="s">
        <v>1111</v>
      </c>
      <c r="AP54" s="5" t="s">
        <v>21</v>
      </c>
      <c r="AQ54" s="5" t="s">
        <v>1112</v>
      </c>
      <c r="AR54" s="5" t="s">
        <v>1113</v>
      </c>
      <c r="AS54" s="5" t="s">
        <v>782</v>
      </c>
      <c r="AT54" s="5">
        <v>2018</v>
      </c>
      <c r="AU54" s="5">
        <v>48</v>
      </c>
      <c r="AV54" s="5">
        <v>2</v>
      </c>
      <c r="AW54" s="5" t="s">
        <v>21</v>
      </c>
      <c r="AX54" s="5" t="s">
        <v>21</v>
      </c>
      <c r="AY54" s="5" t="s">
        <v>21</v>
      </c>
      <c r="AZ54" s="5" t="s">
        <v>21</v>
      </c>
      <c r="BA54" s="5">
        <v>136</v>
      </c>
      <c r="BB54" s="5">
        <v>148</v>
      </c>
      <c r="BC54" s="5" t="s">
        <v>21</v>
      </c>
      <c r="BD54" s="5" t="s">
        <v>1114</v>
      </c>
      <c r="BE54" s="5" t="str">
        <f>HYPERLINK("http://dx.doi.org/10.1109/THMS.2018.2791562","http://dx.doi.org/10.1109/THMS.2018.2791562")</f>
        <v>http://dx.doi.org/10.1109/THMS.2018.2791562</v>
      </c>
      <c r="BF54" s="5" t="s">
        <v>21</v>
      </c>
      <c r="BG54" s="5" t="s">
        <v>21</v>
      </c>
      <c r="BH54" s="5">
        <v>13</v>
      </c>
      <c r="BI54" s="5" t="s">
        <v>714</v>
      </c>
      <c r="BJ54" s="5" t="s">
        <v>92</v>
      </c>
      <c r="BK54" s="5" t="s">
        <v>715</v>
      </c>
      <c r="BL54" s="5" t="s">
        <v>1115</v>
      </c>
      <c r="BM54" s="5">
        <v>30345182</v>
      </c>
      <c r="BN54" s="5" t="s">
        <v>137</v>
      </c>
      <c r="BO54" s="5" t="s">
        <v>21</v>
      </c>
      <c r="BP54" s="5" t="s">
        <v>21</v>
      </c>
      <c r="BQ54" s="5" t="s">
        <v>49</v>
      </c>
      <c r="BR54" s="5" t="s">
        <v>1116</v>
      </c>
      <c r="BS54" s="5" t="str">
        <f>HYPERLINK("https%3A%2F%2Fwww.webofscience.com%2Fwos%2Fwoscc%2Ffull-record%2FWOS:000427629300003","View Full Record in Web of Science")</f>
        <v>View Full Record in Web of Science</v>
      </c>
    </row>
    <row r="55" spans="1:71" x14ac:dyDescent="0.25">
      <c r="A55" t="s">
        <v>19</v>
      </c>
      <c r="B55" s="5" t="s">
        <v>1117</v>
      </c>
      <c r="C55" s="5" t="s">
        <v>21</v>
      </c>
      <c r="D55" s="5" t="s">
        <v>21</v>
      </c>
      <c r="E55" s="5" t="s">
        <v>21</v>
      </c>
      <c r="F55" s="5" t="s">
        <v>1118</v>
      </c>
      <c r="G55" s="5" t="s">
        <v>21</v>
      </c>
      <c r="H55" s="5" t="s">
        <v>21</v>
      </c>
      <c r="I55" s="5" t="s">
        <v>1119</v>
      </c>
      <c r="J55" s="12" t="s">
        <v>1120</v>
      </c>
      <c r="K55" s="5" t="s">
        <v>21</v>
      </c>
      <c r="L55" s="5" t="s">
        <v>21</v>
      </c>
      <c r="M55" s="5" t="s">
        <v>25</v>
      </c>
      <c r="N55" s="5" t="s">
        <v>26</v>
      </c>
      <c r="O55" s="5" t="s">
        <v>21</v>
      </c>
      <c r="P55" s="5" t="s">
        <v>21</v>
      </c>
      <c r="Q55" s="5" t="s">
        <v>21</v>
      </c>
      <c r="R55" s="5" t="s">
        <v>21</v>
      </c>
      <c r="S55" s="5" t="s">
        <v>21</v>
      </c>
      <c r="T55" s="5" t="s">
        <v>1121</v>
      </c>
      <c r="U55" s="5" t="s">
        <v>1122</v>
      </c>
      <c r="V55" s="5" t="s">
        <v>1123</v>
      </c>
      <c r="W55" s="5" t="s">
        <v>1124</v>
      </c>
      <c r="X55" s="5" t="s">
        <v>1125</v>
      </c>
      <c r="Y55" s="5" t="s">
        <v>1126</v>
      </c>
      <c r="Z55" s="5" t="s">
        <v>1127</v>
      </c>
      <c r="AA55" s="5" t="s">
        <v>1128</v>
      </c>
      <c r="AB55" s="5" t="s">
        <v>1129</v>
      </c>
      <c r="AC55" s="5" t="s">
        <v>1130</v>
      </c>
      <c r="AD55" s="5" t="s">
        <v>1131</v>
      </c>
      <c r="AE55" s="5" t="s">
        <v>1132</v>
      </c>
      <c r="AF55" s="5">
        <v>45</v>
      </c>
      <c r="AG55" s="5">
        <v>60</v>
      </c>
      <c r="AH55" s="5">
        <v>63</v>
      </c>
      <c r="AI55" s="5">
        <v>4</v>
      </c>
      <c r="AJ55" s="5">
        <v>97</v>
      </c>
      <c r="AK55" s="5" t="s">
        <v>1133</v>
      </c>
      <c r="AL55" s="5" t="s">
        <v>1134</v>
      </c>
      <c r="AM55" s="5" t="s">
        <v>1135</v>
      </c>
      <c r="AN55" s="5" t="s">
        <v>1136</v>
      </c>
      <c r="AO55" s="5" t="s">
        <v>1137</v>
      </c>
      <c r="AP55" s="5" t="s">
        <v>21</v>
      </c>
      <c r="AQ55" s="5" t="s">
        <v>1138</v>
      </c>
      <c r="AR55" s="5" t="s">
        <v>1139</v>
      </c>
      <c r="AS55" s="5" t="s">
        <v>1140</v>
      </c>
      <c r="AT55" s="5">
        <v>2017</v>
      </c>
      <c r="AU55" s="5">
        <v>290</v>
      </c>
      <c r="AV55" s="5" t="s">
        <v>21</v>
      </c>
      <c r="AW55" s="5" t="s">
        <v>21</v>
      </c>
      <c r="AX55" s="5" t="s">
        <v>21</v>
      </c>
      <c r="AY55" s="5" t="s">
        <v>21</v>
      </c>
      <c r="AZ55" s="5" t="s">
        <v>21</v>
      </c>
      <c r="BA55" s="5">
        <v>105</v>
      </c>
      <c r="BB55" s="5">
        <v>115</v>
      </c>
      <c r="BC55" s="5" t="s">
        <v>21</v>
      </c>
      <c r="BD55" s="5" t="s">
        <v>1141</v>
      </c>
      <c r="BE55" s="5" t="str">
        <f>HYPERLINK("http://dx.doi.org/10.1016/j.jneumeth.2017.07.029","http://dx.doi.org/10.1016/j.jneumeth.2017.07.029")</f>
        <v>http://dx.doi.org/10.1016/j.jneumeth.2017.07.029</v>
      </c>
      <c r="BF55" s="5" t="s">
        <v>21</v>
      </c>
      <c r="BG55" s="5" t="s">
        <v>21</v>
      </c>
      <c r="BH55" s="5">
        <v>11</v>
      </c>
      <c r="BI55" s="5" t="s">
        <v>1142</v>
      </c>
      <c r="BJ55" s="5" t="s">
        <v>524</v>
      </c>
      <c r="BK55" s="5" t="s">
        <v>1143</v>
      </c>
      <c r="BL55" s="5" t="s">
        <v>1144</v>
      </c>
      <c r="BM55" s="5">
        <v>28760486</v>
      </c>
      <c r="BN55" s="5" t="s">
        <v>21</v>
      </c>
      <c r="BO55" s="5" t="s">
        <v>21</v>
      </c>
      <c r="BP55" s="5" t="s">
        <v>21</v>
      </c>
      <c r="BQ55" s="5" t="s">
        <v>49</v>
      </c>
      <c r="BR55" s="5" t="s">
        <v>1145</v>
      </c>
      <c r="BS55" s="5" t="str">
        <f>HYPERLINK("https%3A%2F%2Fwww.webofscience.com%2Fwos%2Fwoscc%2Ffull-record%2FWOS:000411776000012","View Full Record in Web of Science")</f>
        <v>View Full Record in Web of Science</v>
      </c>
    </row>
    <row r="56" spans="1:71" x14ac:dyDescent="0.25">
      <c r="A56" t="s">
        <v>19</v>
      </c>
      <c r="B56" s="5" t="s">
        <v>1146</v>
      </c>
      <c r="C56" s="5" t="s">
        <v>21</v>
      </c>
      <c r="D56" s="5" t="s">
        <v>21</v>
      </c>
      <c r="E56" s="5" t="s">
        <v>21</v>
      </c>
      <c r="F56" s="5" t="s">
        <v>1147</v>
      </c>
      <c r="G56" s="5" t="s">
        <v>21</v>
      </c>
      <c r="H56" s="5" t="s">
        <v>21</v>
      </c>
      <c r="I56" s="5" t="s">
        <v>1148</v>
      </c>
      <c r="J56" s="12" t="s">
        <v>1149</v>
      </c>
      <c r="K56" s="5" t="s">
        <v>21</v>
      </c>
      <c r="L56" s="5" t="s">
        <v>21</v>
      </c>
      <c r="M56" s="5" t="s">
        <v>25</v>
      </c>
      <c r="N56" s="5" t="s">
        <v>26</v>
      </c>
      <c r="O56" s="5" t="s">
        <v>21</v>
      </c>
      <c r="P56" s="5" t="s">
        <v>21</v>
      </c>
      <c r="Q56" s="5" t="s">
        <v>21</v>
      </c>
      <c r="R56" s="5" t="s">
        <v>21</v>
      </c>
      <c r="S56" s="5" t="s">
        <v>21</v>
      </c>
      <c r="T56" s="5" t="s">
        <v>1150</v>
      </c>
      <c r="U56" s="5" t="s">
        <v>1151</v>
      </c>
      <c r="V56" s="5" t="s">
        <v>1152</v>
      </c>
      <c r="W56" s="5" t="s">
        <v>1153</v>
      </c>
      <c r="X56" s="5" t="s">
        <v>1154</v>
      </c>
      <c r="Y56" s="5" t="s">
        <v>1155</v>
      </c>
      <c r="Z56" s="5" t="s">
        <v>1127</v>
      </c>
      <c r="AA56" s="5" t="s">
        <v>1156</v>
      </c>
      <c r="AB56" s="5" t="s">
        <v>1157</v>
      </c>
      <c r="AC56" s="5" t="s">
        <v>1158</v>
      </c>
      <c r="AD56" s="5" t="s">
        <v>1159</v>
      </c>
      <c r="AE56" s="5" t="s">
        <v>1160</v>
      </c>
      <c r="AF56" s="5">
        <v>53</v>
      </c>
      <c r="AG56" s="5">
        <v>59</v>
      </c>
      <c r="AH56" s="5">
        <v>60</v>
      </c>
      <c r="AI56" s="5">
        <v>11</v>
      </c>
      <c r="AJ56" s="5">
        <v>69</v>
      </c>
      <c r="AK56" s="5" t="s">
        <v>153</v>
      </c>
      <c r="AL56" s="5" t="s">
        <v>154</v>
      </c>
      <c r="AM56" s="5" t="s">
        <v>155</v>
      </c>
      <c r="AN56" s="5" t="s">
        <v>21</v>
      </c>
      <c r="AO56" s="5" t="s">
        <v>1161</v>
      </c>
      <c r="AP56" s="5" t="s">
        <v>21</v>
      </c>
      <c r="AQ56" s="5" t="s">
        <v>1162</v>
      </c>
      <c r="AR56" s="5" t="s">
        <v>1163</v>
      </c>
      <c r="AS56" s="5" t="s">
        <v>1164</v>
      </c>
      <c r="AT56" s="5">
        <v>2018</v>
      </c>
      <c r="AU56" s="5">
        <v>12</v>
      </c>
      <c r="AV56" s="5" t="s">
        <v>21</v>
      </c>
      <c r="AW56" s="5" t="s">
        <v>21</v>
      </c>
      <c r="AX56" s="5" t="s">
        <v>21</v>
      </c>
      <c r="AY56" s="5" t="s">
        <v>21</v>
      </c>
      <c r="AZ56" s="5" t="s">
        <v>21</v>
      </c>
      <c r="BA56" s="5" t="s">
        <v>21</v>
      </c>
      <c r="BB56" s="5" t="s">
        <v>21</v>
      </c>
      <c r="BC56" s="5">
        <v>477</v>
      </c>
      <c r="BD56" s="5" t="s">
        <v>1165</v>
      </c>
      <c r="BE56" s="5" t="str">
        <f>HYPERLINK("http://dx.doi.org/10.3389/fnins.2018.00477","http://dx.doi.org/10.3389/fnins.2018.00477")</f>
        <v>http://dx.doi.org/10.3389/fnins.2018.00477</v>
      </c>
      <c r="BF56" s="5" t="s">
        <v>21</v>
      </c>
      <c r="BG56" s="5" t="s">
        <v>21</v>
      </c>
      <c r="BH56" s="5">
        <v>13</v>
      </c>
      <c r="BI56" s="5" t="s">
        <v>1166</v>
      </c>
      <c r="BJ56" s="5" t="s">
        <v>524</v>
      </c>
      <c r="BK56" s="5" t="s">
        <v>1167</v>
      </c>
      <c r="BL56" s="5" t="s">
        <v>1168</v>
      </c>
      <c r="BM56" s="5">
        <v>30061811</v>
      </c>
      <c r="BN56" s="5" t="s">
        <v>1169</v>
      </c>
      <c r="BO56" s="5" t="s">
        <v>21</v>
      </c>
      <c r="BP56" s="5" t="s">
        <v>21</v>
      </c>
      <c r="BQ56" s="5" t="s">
        <v>49</v>
      </c>
      <c r="BR56" s="5" t="s">
        <v>1170</v>
      </c>
      <c r="BS56" s="5" t="str">
        <f>HYPERLINK("https%3A%2F%2Fwww.webofscience.com%2Fwos%2Fwoscc%2Ffull-record%2FWOS:000438536000001","View Full Record in Web of Science")</f>
        <v>View Full Record in Web of Science</v>
      </c>
    </row>
    <row r="57" spans="1:71" x14ac:dyDescent="0.25">
      <c r="A57" t="s">
        <v>19</v>
      </c>
      <c r="B57" s="5" t="s">
        <v>1171</v>
      </c>
      <c r="C57" s="5" t="s">
        <v>21</v>
      </c>
      <c r="D57" s="5" t="s">
        <v>21</v>
      </c>
      <c r="E57" s="5" t="s">
        <v>21</v>
      </c>
      <c r="F57" s="5" t="s">
        <v>1172</v>
      </c>
      <c r="G57" s="5" t="s">
        <v>21</v>
      </c>
      <c r="H57" s="5" t="s">
        <v>21</v>
      </c>
      <c r="I57" s="5" t="s">
        <v>1173</v>
      </c>
      <c r="J57" s="12" t="s">
        <v>24</v>
      </c>
      <c r="K57" s="5" t="s">
        <v>21</v>
      </c>
      <c r="L57" s="5" t="s">
        <v>21</v>
      </c>
      <c r="M57" s="5" t="s">
        <v>25</v>
      </c>
      <c r="N57" s="5" t="s">
        <v>26</v>
      </c>
      <c r="O57" s="5" t="s">
        <v>21</v>
      </c>
      <c r="P57" s="5" t="s">
        <v>21</v>
      </c>
      <c r="Q57" s="5" t="s">
        <v>21</v>
      </c>
      <c r="R57" s="5" t="s">
        <v>21</v>
      </c>
      <c r="S57" s="5" t="s">
        <v>21</v>
      </c>
      <c r="T57" s="5" t="s">
        <v>1174</v>
      </c>
      <c r="U57" s="5" t="s">
        <v>1175</v>
      </c>
      <c r="V57" s="5" t="s">
        <v>1176</v>
      </c>
      <c r="W57" s="5" t="s">
        <v>1177</v>
      </c>
      <c r="X57" s="5" t="s">
        <v>1178</v>
      </c>
      <c r="Y57" s="5" t="s">
        <v>1179</v>
      </c>
      <c r="Z57" s="5" t="s">
        <v>1180</v>
      </c>
      <c r="AA57" s="5" t="s">
        <v>1181</v>
      </c>
      <c r="AB57" s="5" t="s">
        <v>1182</v>
      </c>
      <c r="AC57" s="5" t="s">
        <v>1183</v>
      </c>
      <c r="AD57" s="5" t="s">
        <v>1184</v>
      </c>
      <c r="AE57" s="5" t="s">
        <v>1185</v>
      </c>
      <c r="AF57" s="5">
        <v>48</v>
      </c>
      <c r="AG57" s="5">
        <v>59</v>
      </c>
      <c r="AH57" s="5">
        <v>74</v>
      </c>
      <c r="AI57" s="5">
        <v>2</v>
      </c>
      <c r="AJ57" s="5">
        <v>50</v>
      </c>
      <c r="AK57" s="5" t="s">
        <v>35</v>
      </c>
      <c r="AL57" s="5" t="s">
        <v>36</v>
      </c>
      <c r="AM57" s="5" t="s">
        <v>37</v>
      </c>
      <c r="AN57" s="5" t="s">
        <v>38</v>
      </c>
      <c r="AO57" s="5" t="s">
        <v>39</v>
      </c>
      <c r="AP57" s="5" t="s">
        <v>21</v>
      </c>
      <c r="AQ57" s="5" t="s">
        <v>40</v>
      </c>
      <c r="AR57" s="5" t="s">
        <v>41</v>
      </c>
      <c r="AS57" s="5" t="s">
        <v>199</v>
      </c>
      <c r="AT57" s="5">
        <v>2017</v>
      </c>
      <c r="AU57" s="5">
        <v>47</v>
      </c>
      <c r="AV57" s="5">
        <v>8</v>
      </c>
      <c r="AW57" s="5" t="s">
        <v>21</v>
      </c>
      <c r="AX57" s="5" t="s">
        <v>21</v>
      </c>
      <c r="AY57" s="5" t="s">
        <v>21</v>
      </c>
      <c r="AZ57" s="5" t="s">
        <v>21</v>
      </c>
      <c r="BA57" s="5">
        <v>2544</v>
      </c>
      <c r="BB57" s="5">
        <v>2555</v>
      </c>
      <c r="BC57" s="5" t="s">
        <v>21</v>
      </c>
      <c r="BD57" s="5" t="s">
        <v>1186</v>
      </c>
      <c r="BE57" s="5" t="str">
        <f>HYPERLINK("http://dx.doi.org/10.1007/s10803-017-3164-7","http://dx.doi.org/10.1007/s10803-017-3164-7")</f>
        <v>http://dx.doi.org/10.1007/s10803-017-3164-7</v>
      </c>
      <c r="BF57" s="5" t="s">
        <v>21</v>
      </c>
      <c r="BG57" s="5" t="s">
        <v>21</v>
      </c>
      <c r="BH57" s="5">
        <v>12</v>
      </c>
      <c r="BI57" s="5" t="s">
        <v>44</v>
      </c>
      <c r="BJ57" s="5" t="s">
        <v>45</v>
      </c>
      <c r="BK57" s="5" t="s">
        <v>46</v>
      </c>
      <c r="BL57" s="5" t="s">
        <v>1187</v>
      </c>
      <c r="BM57" s="5">
        <v>28540452</v>
      </c>
      <c r="BN57" s="5" t="s">
        <v>21</v>
      </c>
      <c r="BO57" s="5" t="s">
        <v>21</v>
      </c>
      <c r="BP57" s="5" t="s">
        <v>21</v>
      </c>
      <c r="BQ57" s="5" t="s">
        <v>49</v>
      </c>
      <c r="BR57" s="5" t="s">
        <v>1188</v>
      </c>
      <c r="BS57" s="5" t="str">
        <f>HYPERLINK("https%3A%2F%2Fwww.webofscience.com%2Fwos%2Fwoscc%2Ffull-record%2FWOS:000405720900021","View Full Record in Web of Science")</f>
        <v>View Full Record in Web of Science</v>
      </c>
    </row>
    <row r="58" spans="1:71" x14ac:dyDescent="0.25">
      <c r="A58" t="s">
        <v>19</v>
      </c>
      <c r="B58" s="5" t="s">
        <v>1189</v>
      </c>
      <c r="C58" s="5" t="s">
        <v>21</v>
      </c>
      <c r="D58" s="5" t="s">
        <v>21</v>
      </c>
      <c r="E58" s="5" t="s">
        <v>21</v>
      </c>
      <c r="F58" s="5" t="s">
        <v>1190</v>
      </c>
      <c r="G58" s="5" t="s">
        <v>21</v>
      </c>
      <c r="H58" s="5" t="s">
        <v>21</v>
      </c>
      <c r="I58" s="5" t="s">
        <v>1191</v>
      </c>
      <c r="J58" s="12" t="s">
        <v>24</v>
      </c>
      <c r="K58" s="5" t="s">
        <v>21</v>
      </c>
      <c r="L58" s="5" t="s">
        <v>21</v>
      </c>
      <c r="M58" s="5" t="s">
        <v>25</v>
      </c>
      <c r="N58" s="5" t="s">
        <v>26</v>
      </c>
      <c r="O58" s="5" t="s">
        <v>21</v>
      </c>
      <c r="P58" s="5" t="s">
        <v>21</v>
      </c>
      <c r="Q58" s="5" t="s">
        <v>21</v>
      </c>
      <c r="R58" s="5" t="s">
        <v>21</v>
      </c>
      <c r="S58" s="5" t="s">
        <v>21</v>
      </c>
      <c r="T58" s="5" t="s">
        <v>1192</v>
      </c>
      <c r="U58" s="5" t="s">
        <v>1193</v>
      </c>
      <c r="V58" s="5" t="s">
        <v>1194</v>
      </c>
      <c r="W58" s="5" t="s">
        <v>1195</v>
      </c>
      <c r="X58" s="5" t="s">
        <v>921</v>
      </c>
      <c r="Y58" s="5" t="s">
        <v>1196</v>
      </c>
      <c r="Z58" s="5" t="s">
        <v>1197</v>
      </c>
      <c r="AA58" s="5" t="s">
        <v>705</v>
      </c>
      <c r="AB58" s="5" t="s">
        <v>1198</v>
      </c>
      <c r="AC58" s="5" t="s">
        <v>1199</v>
      </c>
      <c r="AD58" s="5" t="s">
        <v>1200</v>
      </c>
      <c r="AE58" s="5" t="s">
        <v>21</v>
      </c>
      <c r="AF58" s="5">
        <v>42</v>
      </c>
      <c r="AG58" s="5">
        <v>58</v>
      </c>
      <c r="AH58" s="5">
        <v>68</v>
      </c>
      <c r="AI58" s="5">
        <v>6</v>
      </c>
      <c r="AJ58" s="5">
        <v>89</v>
      </c>
      <c r="AK58" s="5" t="s">
        <v>35</v>
      </c>
      <c r="AL58" s="5" t="s">
        <v>36</v>
      </c>
      <c r="AM58" s="5" t="s">
        <v>37</v>
      </c>
      <c r="AN58" s="5" t="s">
        <v>38</v>
      </c>
      <c r="AO58" s="5" t="s">
        <v>39</v>
      </c>
      <c r="AP58" s="5" t="s">
        <v>21</v>
      </c>
      <c r="AQ58" s="5" t="s">
        <v>40</v>
      </c>
      <c r="AR58" s="5" t="s">
        <v>41</v>
      </c>
      <c r="AS58" s="5" t="s">
        <v>290</v>
      </c>
      <c r="AT58" s="5">
        <v>2014</v>
      </c>
      <c r="AU58" s="5">
        <v>44</v>
      </c>
      <c r="AV58" s="5">
        <v>7</v>
      </c>
      <c r="AW58" s="5" t="s">
        <v>21</v>
      </c>
      <c r="AX58" s="5" t="s">
        <v>21</v>
      </c>
      <c r="AY58" s="5" t="s">
        <v>21</v>
      </c>
      <c r="AZ58" s="5" t="s">
        <v>21</v>
      </c>
      <c r="BA58" s="5">
        <v>1641</v>
      </c>
      <c r="BB58" s="5">
        <v>1650</v>
      </c>
      <c r="BC58" s="5" t="s">
        <v>21</v>
      </c>
      <c r="BD58" s="5" t="s">
        <v>1201</v>
      </c>
      <c r="BE58" s="5" t="str">
        <f>HYPERLINK("http://dx.doi.org/10.1007/s10803-014-2035-8","http://dx.doi.org/10.1007/s10803-014-2035-8")</f>
        <v>http://dx.doi.org/10.1007/s10803-014-2035-8</v>
      </c>
      <c r="BF58" s="5" t="s">
        <v>21</v>
      </c>
      <c r="BG58" s="5" t="s">
        <v>21</v>
      </c>
      <c r="BH58" s="5">
        <v>10</v>
      </c>
      <c r="BI58" s="5" t="s">
        <v>44</v>
      </c>
      <c r="BJ58" s="5" t="s">
        <v>45</v>
      </c>
      <c r="BK58" s="5" t="s">
        <v>46</v>
      </c>
      <c r="BL58" s="5" t="s">
        <v>1202</v>
      </c>
      <c r="BM58" s="5">
        <v>24419871</v>
      </c>
      <c r="BN58" s="5" t="s">
        <v>137</v>
      </c>
      <c r="BO58" s="5" t="s">
        <v>21</v>
      </c>
      <c r="BP58" s="5" t="s">
        <v>21</v>
      </c>
      <c r="BQ58" s="5" t="s">
        <v>49</v>
      </c>
      <c r="BR58" s="5" t="s">
        <v>1203</v>
      </c>
      <c r="BS58" s="5" t="str">
        <f>HYPERLINK("https%3A%2F%2Fwww.webofscience.com%2Fwos%2Fwoscc%2Ffull-record%2FWOS:000337752800013","View Full Record in Web of Science")</f>
        <v>View Full Record in Web of Science</v>
      </c>
    </row>
    <row r="59" spans="1:71" x14ac:dyDescent="0.25">
      <c r="A59" t="s">
        <v>19</v>
      </c>
      <c r="B59" s="5" t="s">
        <v>1204</v>
      </c>
      <c r="C59" s="5" t="s">
        <v>21</v>
      </c>
      <c r="D59" s="5" t="s">
        <v>21</v>
      </c>
      <c r="E59" s="5" t="s">
        <v>21</v>
      </c>
      <c r="F59" s="5" t="s">
        <v>1205</v>
      </c>
      <c r="G59" s="5" t="s">
        <v>21</v>
      </c>
      <c r="H59" s="5" t="s">
        <v>21</v>
      </c>
      <c r="I59" s="5" t="s">
        <v>1206</v>
      </c>
      <c r="J59" s="12" t="s">
        <v>975</v>
      </c>
      <c r="K59" s="5" t="s">
        <v>21</v>
      </c>
      <c r="L59" s="5" t="s">
        <v>21</v>
      </c>
      <c r="M59" s="5" t="s">
        <v>25</v>
      </c>
      <c r="N59" s="5" t="s">
        <v>76</v>
      </c>
      <c r="O59" s="5" t="s">
        <v>21</v>
      </c>
      <c r="P59" s="5" t="s">
        <v>21</v>
      </c>
      <c r="Q59" s="5" t="s">
        <v>21</v>
      </c>
      <c r="R59" s="5" t="s">
        <v>21</v>
      </c>
      <c r="S59" s="5" t="s">
        <v>21</v>
      </c>
      <c r="T59" s="5" t="s">
        <v>1207</v>
      </c>
      <c r="U59" s="5" t="s">
        <v>1208</v>
      </c>
      <c r="V59" s="5" t="s">
        <v>1209</v>
      </c>
      <c r="W59" s="5" t="s">
        <v>1210</v>
      </c>
      <c r="X59" s="5" t="s">
        <v>1211</v>
      </c>
      <c r="Y59" s="5" t="s">
        <v>1212</v>
      </c>
      <c r="Z59" s="5" t="s">
        <v>1213</v>
      </c>
      <c r="AA59" s="5" t="s">
        <v>1214</v>
      </c>
      <c r="AB59" s="5" t="s">
        <v>1215</v>
      </c>
      <c r="AC59" s="5" t="s">
        <v>1216</v>
      </c>
      <c r="AD59" s="5" t="s">
        <v>1217</v>
      </c>
      <c r="AE59" s="5" t="s">
        <v>1218</v>
      </c>
      <c r="AF59" s="5">
        <v>80</v>
      </c>
      <c r="AG59" s="5">
        <v>57</v>
      </c>
      <c r="AH59" s="5">
        <v>61</v>
      </c>
      <c r="AI59" s="5">
        <v>4</v>
      </c>
      <c r="AJ59" s="5">
        <v>57</v>
      </c>
      <c r="AK59" s="5" t="s">
        <v>110</v>
      </c>
      <c r="AL59" s="5" t="s">
        <v>84</v>
      </c>
      <c r="AM59" s="5" t="s">
        <v>111</v>
      </c>
      <c r="AN59" s="5" t="s">
        <v>987</v>
      </c>
      <c r="AO59" s="5" t="s">
        <v>988</v>
      </c>
      <c r="AP59" s="5" t="s">
        <v>21</v>
      </c>
      <c r="AQ59" s="5" t="s">
        <v>989</v>
      </c>
      <c r="AR59" s="5" t="s">
        <v>990</v>
      </c>
      <c r="AS59" s="5" t="s">
        <v>199</v>
      </c>
      <c r="AT59" s="5">
        <v>2020</v>
      </c>
      <c r="AU59" s="5">
        <v>80</v>
      </c>
      <c r="AV59" s="5" t="s">
        <v>21</v>
      </c>
      <c r="AW59" s="5" t="s">
        <v>21</v>
      </c>
      <c r="AX59" s="5" t="s">
        <v>21</v>
      </c>
      <c r="AY59" s="5" t="s">
        <v>21</v>
      </c>
      <c r="AZ59" s="5" t="s">
        <v>21</v>
      </c>
      <c r="BA59" s="5" t="s">
        <v>21</v>
      </c>
      <c r="BB59" s="5" t="s">
        <v>21</v>
      </c>
      <c r="BC59" s="5">
        <v>101870</v>
      </c>
      <c r="BD59" s="5" t="s">
        <v>1219</v>
      </c>
      <c r="BE59" s="5" t="str">
        <f>HYPERLINK("http://dx.doi.org/10.1016/j.cpr.2020.101870","http://dx.doi.org/10.1016/j.cpr.2020.101870")</f>
        <v>http://dx.doi.org/10.1016/j.cpr.2020.101870</v>
      </c>
      <c r="BF59" s="5" t="s">
        <v>21</v>
      </c>
      <c r="BG59" s="5" t="s">
        <v>21</v>
      </c>
      <c r="BH59" s="5">
        <v>16</v>
      </c>
      <c r="BI59" s="5" t="s">
        <v>992</v>
      </c>
      <c r="BJ59" s="5" t="s">
        <v>45</v>
      </c>
      <c r="BK59" s="5" t="s">
        <v>46</v>
      </c>
      <c r="BL59" s="5" t="s">
        <v>1220</v>
      </c>
      <c r="BM59" s="5">
        <v>32712216</v>
      </c>
      <c r="BN59" s="5" t="s">
        <v>970</v>
      </c>
      <c r="BO59" s="5" t="s">
        <v>21</v>
      </c>
      <c r="BP59" s="5" t="s">
        <v>21</v>
      </c>
      <c r="BQ59" s="5" t="s">
        <v>49</v>
      </c>
      <c r="BR59" s="5" t="s">
        <v>1221</v>
      </c>
      <c r="BS59" s="5" t="str">
        <f>HYPERLINK("https%3A%2F%2Fwww.webofscience.com%2Fwos%2Fwoscc%2Ffull-record%2FWOS:000562736400003","View Full Record in Web of Science")</f>
        <v>View Full Record in Web of Science</v>
      </c>
    </row>
    <row r="60" spans="1:71" x14ac:dyDescent="0.25">
      <c r="A60" t="s">
        <v>19</v>
      </c>
      <c r="B60" s="5" t="s">
        <v>1222</v>
      </c>
      <c r="C60" s="5" t="s">
        <v>21</v>
      </c>
      <c r="D60" s="5" t="s">
        <v>21</v>
      </c>
      <c r="E60" s="5" t="s">
        <v>21</v>
      </c>
      <c r="F60" s="5" t="s">
        <v>1222</v>
      </c>
      <c r="G60" s="5" t="s">
        <v>21</v>
      </c>
      <c r="H60" s="5" t="s">
        <v>21</v>
      </c>
      <c r="I60" s="5" t="s">
        <v>1223</v>
      </c>
      <c r="J60" s="12" t="s">
        <v>1224</v>
      </c>
      <c r="K60" s="5" t="s">
        <v>21</v>
      </c>
      <c r="L60" s="5" t="s">
        <v>21</v>
      </c>
      <c r="M60" s="5" t="s">
        <v>25</v>
      </c>
      <c r="N60" s="5" t="s">
        <v>26</v>
      </c>
      <c r="O60" s="5" t="s">
        <v>21</v>
      </c>
      <c r="P60" s="5" t="s">
        <v>21</v>
      </c>
      <c r="Q60" s="5" t="s">
        <v>21</v>
      </c>
      <c r="R60" s="5" t="s">
        <v>21</v>
      </c>
      <c r="S60" s="5" t="s">
        <v>21</v>
      </c>
      <c r="T60" s="5" t="s">
        <v>21</v>
      </c>
      <c r="U60" s="5" t="s">
        <v>1225</v>
      </c>
      <c r="V60" s="5" t="s">
        <v>1226</v>
      </c>
      <c r="W60" s="5" t="s">
        <v>21</v>
      </c>
      <c r="X60" s="5" t="s">
        <v>21</v>
      </c>
      <c r="Y60" s="5" t="s">
        <v>1227</v>
      </c>
      <c r="Z60" s="5" t="s">
        <v>21</v>
      </c>
      <c r="AA60" s="5" t="s">
        <v>21</v>
      </c>
      <c r="AB60" s="5" t="s">
        <v>21</v>
      </c>
      <c r="AC60" s="5" t="s">
        <v>21</v>
      </c>
      <c r="AD60" s="5" t="s">
        <v>21</v>
      </c>
      <c r="AE60" s="5" t="s">
        <v>21</v>
      </c>
      <c r="AF60" s="5">
        <v>34</v>
      </c>
      <c r="AG60" s="5">
        <v>57</v>
      </c>
      <c r="AH60" s="5">
        <v>66</v>
      </c>
      <c r="AI60" s="5">
        <v>2</v>
      </c>
      <c r="AJ60" s="5">
        <v>19</v>
      </c>
      <c r="AK60" s="5" t="s">
        <v>1228</v>
      </c>
      <c r="AL60" s="5" t="s">
        <v>310</v>
      </c>
      <c r="AM60" s="5" t="s">
        <v>1229</v>
      </c>
      <c r="AN60" s="5" t="s">
        <v>1230</v>
      </c>
      <c r="AO60" s="5" t="s">
        <v>21</v>
      </c>
      <c r="AP60" s="5" t="s">
        <v>21</v>
      </c>
      <c r="AQ60" s="5" t="s">
        <v>1231</v>
      </c>
      <c r="AR60" s="5" t="s">
        <v>1232</v>
      </c>
      <c r="AS60" s="5" t="s">
        <v>1233</v>
      </c>
      <c r="AT60" s="5">
        <v>1996</v>
      </c>
      <c r="AU60" s="5">
        <v>5</v>
      </c>
      <c r="AV60" s="5">
        <v>3</v>
      </c>
      <c r="AW60" s="5" t="s">
        <v>21</v>
      </c>
      <c r="AX60" s="5" t="s">
        <v>21</v>
      </c>
      <c r="AY60" s="5" t="s">
        <v>21</v>
      </c>
      <c r="AZ60" s="5" t="s">
        <v>21</v>
      </c>
      <c r="BA60" s="5">
        <v>319</v>
      </c>
      <c r="BB60" s="5">
        <v>329</v>
      </c>
      <c r="BC60" s="5" t="s">
        <v>21</v>
      </c>
      <c r="BD60" s="5" t="s">
        <v>1234</v>
      </c>
      <c r="BE60" s="5" t="str">
        <f>HYPERLINK("http://dx.doi.org/10.1162/pres.1996.5.3.319","http://dx.doi.org/10.1162/pres.1996.5.3.319")</f>
        <v>http://dx.doi.org/10.1162/pres.1996.5.3.319</v>
      </c>
      <c r="BF60" s="5" t="s">
        <v>21</v>
      </c>
      <c r="BG60" s="5" t="s">
        <v>21</v>
      </c>
      <c r="BH60" s="5">
        <v>11</v>
      </c>
      <c r="BI60" s="5" t="s">
        <v>1235</v>
      </c>
      <c r="BJ60" s="5" t="s">
        <v>92</v>
      </c>
      <c r="BK60" s="5" t="s">
        <v>715</v>
      </c>
      <c r="BL60" s="5" t="s">
        <v>1236</v>
      </c>
      <c r="BM60" s="5" t="s">
        <v>21</v>
      </c>
      <c r="BN60" s="5" t="s">
        <v>21</v>
      </c>
      <c r="BO60" s="5" t="s">
        <v>21</v>
      </c>
      <c r="BP60" s="5" t="s">
        <v>21</v>
      </c>
      <c r="BQ60" s="5" t="s">
        <v>49</v>
      </c>
      <c r="BR60" s="5" t="s">
        <v>1237</v>
      </c>
      <c r="BS60" s="5" t="str">
        <f>HYPERLINK("https%3A%2F%2Fwww.webofscience.com%2Fwos%2Fwoscc%2Ffull-record%2FWOS:A1996VF83500005","View Full Record in Web of Science")</f>
        <v>View Full Record in Web of Science</v>
      </c>
    </row>
    <row r="61" spans="1:71" x14ac:dyDescent="0.25">
      <c r="A61" t="s">
        <v>19</v>
      </c>
      <c r="B61" s="5" t="s">
        <v>1238</v>
      </c>
      <c r="C61" s="5" t="s">
        <v>21</v>
      </c>
      <c r="D61" s="5" t="s">
        <v>21</v>
      </c>
      <c r="E61" s="5" t="s">
        <v>21</v>
      </c>
      <c r="F61" s="5" t="s">
        <v>1239</v>
      </c>
      <c r="G61" s="5" t="s">
        <v>21</v>
      </c>
      <c r="H61" s="5" t="s">
        <v>21</v>
      </c>
      <c r="I61" s="5" t="s">
        <v>1240</v>
      </c>
      <c r="J61" s="12" t="s">
        <v>1241</v>
      </c>
      <c r="K61" s="5" t="s">
        <v>21</v>
      </c>
      <c r="L61" s="5" t="s">
        <v>21</v>
      </c>
      <c r="M61" s="5" t="s">
        <v>25</v>
      </c>
      <c r="N61" s="5" t="s">
        <v>26</v>
      </c>
      <c r="O61" s="5" t="s">
        <v>21</v>
      </c>
      <c r="P61" s="5" t="s">
        <v>21</v>
      </c>
      <c r="Q61" s="5" t="s">
        <v>21</v>
      </c>
      <c r="R61" s="5" t="s">
        <v>21</v>
      </c>
      <c r="S61" s="5" t="s">
        <v>21</v>
      </c>
      <c r="T61" s="5" t="s">
        <v>1242</v>
      </c>
      <c r="U61" s="5" t="s">
        <v>1243</v>
      </c>
      <c r="V61" s="5" t="s">
        <v>1244</v>
      </c>
      <c r="W61" s="5" t="s">
        <v>1245</v>
      </c>
      <c r="X61" s="5" t="s">
        <v>1246</v>
      </c>
      <c r="Y61" s="5" t="s">
        <v>1247</v>
      </c>
      <c r="Z61" s="5" t="s">
        <v>1248</v>
      </c>
      <c r="AA61" s="5" t="s">
        <v>21</v>
      </c>
      <c r="AB61" s="5" t="s">
        <v>1249</v>
      </c>
      <c r="AC61" s="5" t="s">
        <v>1250</v>
      </c>
      <c r="AD61" s="5" t="s">
        <v>1251</v>
      </c>
      <c r="AE61" s="5" t="s">
        <v>1252</v>
      </c>
      <c r="AF61" s="5">
        <v>30</v>
      </c>
      <c r="AG61" s="5">
        <v>55</v>
      </c>
      <c r="AH61" s="5">
        <v>62</v>
      </c>
      <c r="AI61" s="5">
        <v>5</v>
      </c>
      <c r="AJ61" s="5">
        <v>88</v>
      </c>
      <c r="AK61" s="5" t="s">
        <v>1253</v>
      </c>
      <c r="AL61" s="5" t="s">
        <v>1254</v>
      </c>
      <c r="AM61" s="5" t="s">
        <v>1255</v>
      </c>
      <c r="AN61" s="5" t="s">
        <v>1256</v>
      </c>
      <c r="AO61" s="5" t="s">
        <v>1257</v>
      </c>
      <c r="AP61" s="5" t="s">
        <v>21</v>
      </c>
      <c r="AQ61" s="5" t="s">
        <v>1258</v>
      </c>
      <c r="AR61" s="5" t="s">
        <v>1259</v>
      </c>
      <c r="AS61" s="5" t="s">
        <v>290</v>
      </c>
      <c r="AT61" s="5">
        <v>2018</v>
      </c>
      <c r="AU61" s="5">
        <v>21</v>
      </c>
      <c r="AV61" s="5">
        <v>3</v>
      </c>
      <c r="AW61" s="5" t="s">
        <v>21</v>
      </c>
      <c r="AX61" s="5" t="s">
        <v>21</v>
      </c>
      <c r="AY61" s="5" t="s">
        <v>501</v>
      </c>
      <c r="AZ61" s="5" t="s">
        <v>21</v>
      </c>
      <c r="BA61" s="5">
        <v>213</v>
      </c>
      <c r="BB61" s="5">
        <v>227</v>
      </c>
      <c r="BC61" s="5" t="s">
        <v>21</v>
      </c>
      <c r="BD61" s="5" t="s">
        <v>21</v>
      </c>
      <c r="BE61" s="5" t="s">
        <v>21</v>
      </c>
      <c r="BF61" s="5" t="s">
        <v>21</v>
      </c>
      <c r="BG61" s="5" t="s">
        <v>21</v>
      </c>
      <c r="BH61" s="5">
        <v>15</v>
      </c>
      <c r="BI61" s="5" t="s">
        <v>503</v>
      </c>
      <c r="BJ61" s="5" t="s">
        <v>45</v>
      </c>
      <c r="BK61" s="5" t="s">
        <v>503</v>
      </c>
      <c r="BL61" s="5" t="s">
        <v>1260</v>
      </c>
      <c r="BM61" s="5" t="s">
        <v>21</v>
      </c>
      <c r="BN61" s="5" t="s">
        <v>21</v>
      </c>
      <c r="BO61" s="5" t="s">
        <v>21</v>
      </c>
      <c r="BP61" s="5" t="s">
        <v>21</v>
      </c>
      <c r="BQ61" s="5" t="s">
        <v>49</v>
      </c>
      <c r="BR61" s="5" t="s">
        <v>1261</v>
      </c>
      <c r="BS61" s="5" t="str">
        <f>HYPERLINK("https%3A%2F%2Fwww.webofscience.com%2Fwos%2Fwoscc%2Ffull-record%2FWOS:000438086400018","View Full Record in Web of Science")</f>
        <v>View Full Record in Web of Science</v>
      </c>
    </row>
    <row r="62" spans="1:71" x14ac:dyDescent="0.25">
      <c r="A62" t="s">
        <v>19</v>
      </c>
      <c r="B62" s="5" t="s">
        <v>1262</v>
      </c>
      <c r="C62" s="5" t="s">
        <v>21</v>
      </c>
      <c r="D62" s="5" t="s">
        <v>21</v>
      </c>
      <c r="E62" s="5" t="s">
        <v>21</v>
      </c>
      <c r="F62" s="5" t="s">
        <v>1263</v>
      </c>
      <c r="G62" s="5" t="s">
        <v>21</v>
      </c>
      <c r="H62" s="5" t="s">
        <v>21</v>
      </c>
      <c r="I62" s="5" t="s">
        <v>1264</v>
      </c>
      <c r="J62" s="12" t="s">
        <v>24</v>
      </c>
      <c r="K62" s="5" t="s">
        <v>21</v>
      </c>
      <c r="L62" s="5" t="s">
        <v>21</v>
      </c>
      <c r="M62" s="5" t="s">
        <v>25</v>
      </c>
      <c r="N62" s="5" t="s">
        <v>26</v>
      </c>
      <c r="O62" s="5" t="s">
        <v>21</v>
      </c>
      <c r="P62" s="5" t="s">
        <v>21</v>
      </c>
      <c r="Q62" s="5" t="s">
        <v>21</v>
      </c>
      <c r="R62" s="5" t="s">
        <v>21</v>
      </c>
      <c r="S62" s="5" t="s">
        <v>21</v>
      </c>
      <c r="T62" s="5" t="s">
        <v>1265</v>
      </c>
      <c r="U62" s="5" t="s">
        <v>1266</v>
      </c>
      <c r="V62" s="5" t="s">
        <v>1267</v>
      </c>
      <c r="W62" s="5" t="s">
        <v>1268</v>
      </c>
      <c r="X62" s="5" t="s">
        <v>1269</v>
      </c>
      <c r="Y62" s="5" t="s">
        <v>1270</v>
      </c>
      <c r="Z62" s="5" t="s">
        <v>1271</v>
      </c>
      <c r="AA62" s="5" t="s">
        <v>21</v>
      </c>
      <c r="AB62" s="5" t="s">
        <v>1272</v>
      </c>
      <c r="AC62" s="5" t="s">
        <v>21</v>
      </c>
      <c r="AD62" s="5" t="s">
        <v>21</v>
      </c>
      <c r="AE62" s="5" t="s">
        <v>21</v>
      </c>
      <c r="AF62" s="5">
        <v>59</v>
      </c>
      <c r="AG62" s="5">
        <v>55</v>
      </c>
      <c r="AH62" s="5">
        <v>63</v>
      </c>
      <c r="AI62" s="5">
        <v>1</v>
      </c>
      <c r="AJ62" s="5">
        <v>66</v>
      </c>
      <c r="AK62" s="5" t="s">
        <v>35</v>
      </c>
      <c r="AL62" s="5" t="s">
        <v>36</v>
      </c>
      <c r="AM62" s="5" t="s">
        <v>37</v>
      </c>
      <c r="AN62" s="5" t="s">
        <v>38</v>
      </c>
      <c r="AO62" s="5" t="s">
        <v>39</v>
      </c>
      <c r="AP62" s="5" t="s">
        <v>21</v>
      </c>
      <c r="AQ62" s="5" t="s">
        <v>40</v>
      </c>
      <c r="AR62" s="5" t="s">
        <v>41</v>
      </c>
      <c r="AS62" s="5" t="s">
        <v>782</v>
      </c>
      <c r="AT62" s="5">
        <v>2016</v>
      </c>
      <c r="AU62" s="5">
        <v>46</v>
      </c>
      <c r="AV62" s="5">
        <v>4</v>
      </c>
      <c r="AW62" s="5" t="s">
        <v>21</v>
      </c>
      <c r="AX62" s="5" t="s">
        <v>21</v>
      </c>
      <c r="AY62" s="5" t="s">
        <v>21</v>
      </c>
      <c r="AZ62" s="5" t="s">
        <v>21</v>
      </c>
      <c r="BA62" s="5">
        <v>1255</v>
      </c>
      <c r="BB62" s="5">
        <v>1267</v>
      </c>
      <c r="BC62" s="5" t="s">
        <v>21</v>
      </c>
      <c r="BD62" s="5" t="s">
        <v>1273</v>
      </c>
      <c r="BE62" s="5" t="str">
        <f>HYPERLINK("http://dx.doi.org/10.1007/s10803-015-2663-7","http://dx.doi.org/10.1007/s10803-015-2663-7")</f>
        <v>http://dx.doi.org/10.1007/s10803-015-2663-7</v>
      </c>
      <c r="BF62" s="5" t="s">
        <v>21</v>
      </c>
      <c r="BG62" s="5" t="s">
        <v>21</v>
      </c>
      <c r="BH62" s="5">
        <v>13</v>
      </c>
      <c r="BI62" s="5" t="s">
        <v>44</v>
      </c>
      <c r="BJ62" s="5" t="s">
        <v>45</v>
      </c>
      <c r="BK62" s="5" t="s">
        <v>46</v>
      </c>
      <c r="BL62" s="5" t="s">
        <v>1274</v>
      </c>
      <c r="BM62" s="5">
        <v>26614084</v>
      </c>
      <c r="BN62" s="5" t="s">
        <v>21</v>
      </c>
      <c r="BO62" s="5" t="s">
        <v>21</v>
      </c>
      <c r="BP62" s="5" t="s">
        <v>21</v>
      </c>
      <c r="BQ62" s="5" t="s">
        <v>49</v>
      </c>
      <c r="BR62" s="5" t="s">
        <v>1275</v>
      </c>
      <c r="BS62" s="5" t="str">
        <f>HYPERLINK("https%3A%2F%2Fwww.webofscience.com%2Fwos%2Fwoscc%2Ffull-record%2FWOS:000372280900012","View Full Record in Web of Science")</f>
        <v>View Full Record in Web of Science</v>
      </c>
    </row>
    <row r="63" spans="1:71" x14ac:dyDescent="0.25">
      <c r="A63" t="s">
        <v>19</v>
      </c>
      <c r="B63" s="5" t="s">
        <v>1276</v>
      </c>
      <c r="C63" s="5" t="s">
        <v>21</v>
      </c>
      <c r="D63" s="5" t="s">
        <v>21</v>
      </c>
      <c r="E63" s="5" t="s">
        <v>21</v>
      </c>
      <c r="F63" s="5" t="s">
        <v>1277</v>
      </c>
      <c r="G63" s="5" t="s">
        <v>21</v>
      </c>
      <c r="H63" s="5" t="s">
        <v>21</v>
      </c>
      <c r="I63" s="5" t="s">
        <v>1278</v>
      </c>
      <c r="J63" s="12" t="s">
        <v>1279</v>
      </c>
      <c r="K63" s="5" t="s">
        <v>21</v>
      </c>
      <c r="L63" s="5" t="s">
        <v>21</v>
      </c>
      <c r="M63" s="5" t="s">
        <v>25</v>
      </c>
      <c r="N63" s="5" t="s">
        <v>26</v>
      </c>
      <c r="O63" s="5" t="s">
        <v>21</v>
      </c>
      <c r="P63" s="5" t="s">
        <v>21</v>
      </c>
      <c r="Q63" s="5" t="s">
        <v>21</v>
      </c>
      <c r="R63" s="5" t="s">
        <v>21</v>
      </c>
      <c r="S63" s="5" t="s">
        <v>21</v>
      </c>
      <c r="T63" s="5" t="s">
        <v>1280</v>
      </c>
      <c r="U63" s="5" t="s">
        <v>1281</v>
      </c>
      <c r="V63" s="5" t="s">
        <v>1282</v>
      </c>
      <c r="W63" s="5" t="s">
        <v>1283</v>
      </c>
      <c r="X63" s="5" t="s">
        <v>1284</v>
      </c>
      <c r="Y63" s="5" t="s">
        <v>1285</v>
      </c>
      <c r="Z63" s="5" t="s">
        <v>1286</v>
      </c>
      <c r="AA63" s="5" t="s">
        <v>1287</v>
      </c>
      <c r="AB63" s="5" t="s">
        <v>1288</v>
      </c>
      <c r="AC63" s="5" t="s">
        <v>1289</v>
      </c>
      <c r="AD63" s="5" t="s">
        <v>1290</v>
      </c>
      <c r="AE63" s="5" t="s">
        <v>1291</v>
      </c>
      <c r="AF63" s="5">
        <v>57</v>
      </c>
      <c r="AG63" s="5">
        <v>54</v>
      </c>
      <c r="AH63" s="5">
        <v>62</v>
      </c>
      <c r="AI63" s="5">
        <v>5</v>
      </c>
      <c r="AJ63" s="5">
        <v>85</v>
      </c>
      <c r="AK63" s="5" t="s">
        <v>1292</v>
      </c>
      <c r="AL63" s="5" t="s">
        <v>252</v>
      </c>
      <c r="AM63" s="5" t="s">
        <v>1293</v>
      </c>
      <c r="AN63" s="5" t="s">
        <v>1294</v>
      </c>
      <c r="AO63" s="5" t="s">
        <v>1295</v>
      </c>
      <c r="AP63" s="5" t="s">
        <v>21</v>
      </c>
      <c r="AQ63" s="5" t="s">
        <v>1296</v>
      </c>
      <c r="AR63" s="5" t="s">
        <v>1297</v>
      </c>
      <c r="AS63" s="5" t="s">
        <v>42</v>
      </c>
      <c r="AT63" s="5">
        <v>2022</v>
      </c>
      <c r="AU63" s="5">
        <v>15</v>
      </c>
      <c r="AV63" s="5">
        <v>1</v>
      </c>
      <c r="AW63" s="5" t="s">
        <v>21</v>
      </c>
      <c r="AX63" s="5" t="s">
        <v>21</v>
      </c>
      <c r="AY63" s="5" t="s">
        <v>21</v>
      </c>
      <c r="AZ63" s="5" t="s">
        <v>21</v>
      </c>
      <c r="BA63" s="5">
        <v>131</v>
      </c>
      <c r="BB63" s="5">
        <v>145</v>
      </c>
      <c r="BC63" s="5" t="s">
        <v>21</v>
      </c>
      <c r="BD63" s="5" t="s">
        <v>1298</v>
      </c>
      <c r="BE63" s="5" t="str">
        <f>HYPERLINK("http://dx.doi.org/10.1002/aur.2636","http://dx.doi.org/10.1002/aur.2636")</f>
        <v>http://dx.doi.org/10.1002/aur.2636</v>
      </c>
      <c r="BF63" s="5" t="s">
        <v>21</v>
      </c>
      <c r="BG63" s="5" t="s">
        <v>968</v>
      </c>
      <c r="BH63" s="5">
        <v>15</v>
      </c>
      <c r="BI63" s="5" t="s">
        <v>1299</v>
      </c>
      <c r="BJ63" s="5" t="s">
        <v>92</v>
      </c>
      <c r="BK63" s="5" t="s">
        <v>1300</v>
      </c>
      <c r="BL63" s="5" t="s">
        <v>1301</v>
      </c>
      <c r="BM63" s="5">
        <v>34811930</v>
      </c>
      <c r="BN63" s="5" t="s">
        <v>1302</v>
      </c>
      <c r="BO63" s="5" t="s">
        <v>21</v>
      </c>
      <c r="BP63" s="5" t="s">
        <v>21</v>
      </c>
      <c r="BQ63" s="5" t="s">
        <v>49</v>
      </c>
      <c r="BR63" s="5" t="s">
        <v>1303</v>
      </c>
      <c r="BS63" s="5" t="str">
        <f>HYPERLINK("https%3A%2F%2Fwww.webofscience.com%2Fwos%2Fwoscc%2Ffull-record%2FWOS:000721474700001","View Full Record in Web of Science")</f>
        <v>View Full Record in Web of Science</v>
      </c>
    </row>
    <row r="64" spans="1:71" x14ac:dyDescent="0.25">
      <c r="A64" t="s">
        <v>19</v>
      </c>
      <c r="B64" s="5" t="s">
        <v>1304</v>
      </c>
      <c r="C64" s="5" t="s">
        <v>21</v>
      </c>
      <c r="D64" s="5" t="s">
        <v>21</v>
      </c>
      <c r="E64" s="5" t="s">
        <v>21</v>
      </c>
      <c r="F64" s="5" t="s">
        <v>1305</v>
      </c>
      <c r="G64" s="5" t="s">
        <v>21</v>
      </c>
      <c r="H64" s="5" t="s">
        <v>21</v>
      </c>
      <c r="I64" s="5" t="s">
        <v>1306</v>
      </c>
      <c r="J64" s="12" t="s">
        <v>1307</v>
      </c>
      <c r="K64" s="5" t="s">
        <v>21</v>
      </c>
      <c r="L64" s="5" t="s">
        <v>21</v>
      </c>
      <c r="M64" s="5" t="s">
        <v>25</v>
      </c>
      <c r="N64" s="5" t="s">
        <v>26</v>
      </c>
      <c r="O64" s="5" t="s">
        <v>21</v>
      </c>
      <c r="P64" s="5" t="s">
        <v>21</v>
      </c>
      <c r="Q64" s="5" t="s">
        <v>21</v>
      </c>
      <c r="R64" s="5" t="s">
        <v>21</v>
      </c>
      <c r="S64" s="5" t="s">
        <v>21</v>
      </c>
      <c r="T64" s="5" t="s">
        <v>1308</v>
      </c>
      <c r="U64" s="5" t="s">
        <v>1309</v>
      </c>
      <c r="V64" s="5" t="s">
        <v>1310</v>
      </c>
      <c r="W64" s="5" t="s">
        <v>1311</v>
      </c>
      <c r="X64" s="5" t="s">
        <v>1312</v>
      </c>
      <c r="Y64" s="5" t="s">
        <v>1313</v>
      </c>
      <c r="Z64" s="5" t="s">
        <v>1127</v>
      </c>
      <c r="AA64" s="5" t="s">
        <v>1314</v>
      </c>
      <c r="AB64" s="5" t="s">
        <v>1315</v>
      </c>
      <c r="AC64" s="5" t="s">
        <v>1316</v>
      </c>
      <c r="AD64" s="5" t="s">
        <v>1317</v>
      </c>
      <c r="AE64" s="5" t="s">
        <v>1318</v>
      </c>
      <c r="AF64" s="5">
        <v>22</v>
      </c>
      <c r="AG64" s="5">
        <v>54</v>
      </c>
      <c r="AH64" s="5">
        <v>60</v>
      </c>
      <c r="AI64" s="5">
        <v>10</v>
      </c>
      <c r="AJ64" s="5">
        <v>58</v>
      </c>
      <c r="AK64" s="5" t="s">
        <v>1319</v>
      </c>
      <c r="AL64" s="5" t="s">
        <v>1320</v>
      </c>
      <c r="AM64" s="5" t="s">
        <v>1321</v>
      </c>
      <c r="AN64" s="5" t="s">
        <v>1322</v>
      </c>
      <c r="AO64" s="5" t="s">
        <v>21</v>
      </c>
      <c r="AP64" s="5" t="s">
        <v>21</v>
      </c>
      <c r="AQ64" s="5" t="s">
        <v>1307</v>
      </c>
      <c r="AR64" s="5" t="s">
        <v>1323</v>
      </c>
      <c r="AS64" s="5" t="s">
        <v>431</v>
      </c>
      <c r="AT64" s="5">
        <v>2018</v>
      </c>
      <c r="AU64" s="5">
        <v>6</v>
      </c>
      <c r="AV64" s="5">
        <v>1</v>
      </c>
      <c r="AW64" s="5" t="s">
        <v>21</v>
      </c>
      <c r="AX64" s="5" t="s">
        <v>21</v>
      </c>
      <c r="AY64" s="5" t="s">
        <v>21</v>
      </c>
      <c r="AZ64" s="5" t="s">
        <v>21</v>
      </c>
      <c r="BA64" s="5" t="s">
        <v>21</v>
      </c>
      <c r="BB64" s="5" t="s">
        <v>21</v>
      </c>
      <c r="BC64" s="5" t="s">
        <v>1324</v>
      </c>
      <c r="BD64" s="5" t="s">
        <v>1325</v>
      </c>
      <c r="BE64" s="5" t="str">
        <f>HYPERLINK("http://dx.doi.org/10.2196/games.8428","http://dx.doi.org/10.2196/games.8428")</f>
        <v>http://dx.doi.org/10.2196/games.8428</v>
      </c>
      <c r="BF64" s="5" t="s">
        <v>21</v>
      </c>
      <c r="BG64" s="5" t="s">
        <v>21</v>
      </c>
      <c r="BH64" s="5">
        <v>13</v>
      </c>
      <c r="BI64" s="5" t="s">
        <v>1326</v>
      </c>
      <c r="BJ64" s="5" t="s">
        <v>92</v>
      </c>
      <c r="BK64" s="5" t="s">
        <v>1326</v>
      </c>
      <c r="BL64" s="5" t="s">
        <v>1327</v>
      </c>
      <c r="BM64" s="5">
        <v>29559425</v>
      </c>
      <c r="BN64" s="5" t="s">
        <v>1328</v>
      </c>
      <c r="BO64" s="5" t="s">
        <v>21</v>
      </c>
      <c r="BP64" s="5" t="s">
        <v>21</v>
      </c>
      <c r="BQ64" s="5" t="s">
        <v>49</v>
      </c>
      <c r="BR64" s="5" t="s">
        <v>1329</v>
      </c>
      <c r="BS64" s="5" t="str">
        <f>HYPERLINK("https%3A%2F%2Fwww.webofscience.com%2Fwos%2Fwoscc%2Ffull-record%2FWOS:000430473100005","View Full Record in Web of Science")</f>
        <v>View Full Record in Web of Science</v>
      </c>
    </row>
    <row r="65" spans="1:71" x14ac:dyDescent="0.25">
      <c r="A65" t="s">
        <v>19</v>
      </c>
      <c r="B65" s="5" t="s">
        <v>1330</v>
      </c>
      <c r="C65" s="5" t="s">
        <v>21</v>
      </c>
      <c r="D65" s="5" t="s">
        <v>21</v>
      </c>
      <c r="E65" s="5" t="s">
        <v>21</v>
      </c>
      <c r="F65" s="5" t="s">
        <v>1331</v>
      </c>
      <c r="G65" s="5" t="s">
        <v>21</v>
      </c>
      <c r="H65" s="5" t="s">
        <v>21</v>
      </c>
      <c r="I65" s="5" t="s">
        <v>1332</v>
      </c>
      <c r="J65" s="12" t="s">
        <v>24</v>
      </c>
      <c r="K65" s="5" t="s">
        <v>21</v>
      </c>
      <c r="L65" s="5" t="s">
        <v>21</v>
      </c>
      <c r="M65" s="5" t="s">
        <v>25</v>
      </c>
      <c r="N65" s="5" t="s">
        <v>26</v>
      </c>
      <c r="O65" s="5" t="s">
        <v>21</v>
      </c>
      <c r="P65" s="5" t="s">
        <v>21</v>
      </c>
      <c r="Q65" s="5" t="s">
        <v>21</v>
      </c>
      <c r="R65" s="5" t="s">
        <v>21</v>
      </c>
      <c r="S65" s="5" t="s">
        <v>21</v>
      </c>
      <c r="T65" s="5" t="s">
        <v>1333</v>
      </c>
      <c r="U65" s="5" t="s">
        <v>1334</v>
      </c>
      <c r="V65" s="5" t="s">
        <v>1335</v>
      </c>
      <c r="W65" s="5" t="s">
        <v>1336</v>
      </c>
      <c r="X65" s="5" t="s">
        <v>1337</v>
      </c>
      <c r="Y65" s="5" t="s">
        <v>1338</v>
      </c>
      <c r="Z65" s="5" t="s">
        <v>1339</v>
      </c>
      <c r="AA65" s="5" t="s">
        <v>1340</v>
      </c>
      <c r="AB65" s="5" t="s">
        <v>21</v>
      </c>
      <c r="AC65" s="5" t="s">
        <v>1341</v>
      </c>
      <c r="AD65" s="5" t="s">
        <v>1342</v>
      </c>
      <c r="AE65" s="5" t="s">
        <v>1343</v>
      </c>
      <c r="AF65" s="5">
        <v>37</v>
      </c>
      <c r="AG65" s="5">
        <v>54</v>
      </c>
      <c r="AH65" s="5">
        <v>64</v>
      </c>
      <c r="AI65" s="5">
        <v>5</v>
      </c>
      <c r="AJ65" s="5">
        <v>87</v>
      </c>
      <c r="AK65" s="5" t="s">
        <v>35</v>
      </c>
      <c r="AL65" s="5" t="s">
        <v>36</v>
      </c>
      <c r="AM65" s="5" t="s">
        <v>37</v>
      </c>
      <c r="AN65" s="5" t="s">
        <v>38</v>
      </c>
      <c r="AO65" s="5" t="s">
        <v>39</v>
      </c>
      <c r="AP65" s="5" t="s">
        <v>21</v>
      </c>
      <c r="AQ65" s="5" t="s">
        <v>40</v>
      </c>
      <c r="AR65" s="5" t="s">
        <v>41</v>
      </c>
      <c r="AS65" s="5" t="s">
        <v>269</v>
      </c>
      <c r="AT65" s="5">
        <v>2015</v>
      </c>
      <c r="AU65" s="5">
        <v>45</v>
      </c>
      <c r="AV65" s="5">
        <v>12</v>
      </c>
      <c r="AW65" s="5" t="s">
        <v>21</v>
      </c>
      <c r="AX65" s="5" t="s">
        <v>21</v>
      </c>
      <c r="AY65" s="5" t="s">
        <v>501</v>
      </c>
      <c r="AZ65" s="5" t="s">
        <v>21</v>
      </c>
      <c r="BA65" s="5">
        <v>3891</v>
      </c>
      <c r="BB65" s="5">
        <v>3899</v>
      </c>
      <c r="BC65" s="5" t="s">
        <v>21</v>
      </c>
      <c r="BD65" s="5" t="s">
        <v>1344</v>
      </c>
      <c r="BE65" s="5" t="str">
        <f>HYPERLINK("http://dx.doi.org/10.1007/s10803-014-2036-7","http://dx.doi.org/10.1007/s10803-014-2036-7")</f>
        <v>http://dx.doi.org/10.1007/s10803-014-2036-7</v>
      </c>
      <c r="BF65" s="5" t="s">
        <v>21</v>
      </c>
      <c r="BG65" s="5" t="s">
        <v>21</v>
      </c>
      <c r="BH65" s="5">
        <v>9</v>
      </c>
      <c r="BI65" s="5" t="s">
        <v>44</v>
      </c>
      <c r="BJ65" s="5" t="s">
        <v>45</v>
      </c>
      <c r="BK65" s="5" t="s">
        <v>46</v>
      </c>
      <c r="BL65" s="5" t="s">
        <v>1345</v>
      </c>
      <c r="BM65" s="5">
        <v>24435405</v>
      </c>
      <c r="BN65" s="5" t="s">
        <v>1346</v>
      </c>
      <c r="BO65" s="5" t="s">
        <v>21</v>
      </c>
      <c r="BP65" s="5" t="s">
        <v>21</v>
      </c>
      <c r="BQ65" s="5" t="s">
        <v>49</v>
      </c>
      <c r="BR65" s="5" t="s">
        <v>1347</v>
      </c>
      <c r="BS65" s="5" t="str">
        <f>HYPERLINK("https%3A%2F%2Fwww.webofscience.com%2Fwos%2Fwoscc%2Ffull-record%2FWOS:000365417100012","View Full Record in Web of Science")</f>
        <v>View Full Record in Web of Science</v>
      </c>
    </row>
    <row r="66" spans="1:71" x14ac:dyDescent="0.25">
      <c r="A66" t="s">
        <v>19</v>
      </c>
      <c r="B66" s="5" t="s">
        <v>643</v>
      </c>
      <c r="C66" s="5" t="s">
        <v>21</v>
      </c>
      <c r="D66" s="5" t="s">
        <v>21</v>
      </c>
      <c r="E66" s="5" t="s">
        <v>21</v>
      </c>
      <c r="F66" s="5" t="s">
        <v>644</v>
      </c>
      <c r="G66" s="5" t="s">
        <v>21</v>
      </c>
      <c r="H66" s="5" t="s">
        <v>21</v>
      </c>
      <c r="I66" s="5" t="s">
        <v>1348</v>
      </c>
      <c r="J66" s="12" t="s">
        <v>24</v>
      </c>
      <c r="K66" s="5" t="s">
        <v>21</v>
      </c>
      <c r="L66" s="5" t="s">
        <v>21</v>
      </c>
      <c r="M66" s="5" t="s">
        <v>25</v>
      </c>
      <c r="N66" s="5" t="s">
        <v>26</v>
      </c>
      <c r="O66" s="5" t="s">
        <v>21</v>
      </c>
      <c r="P66" s="5" t="s">
        <v>21</v>
      </c>
      <c r="Q66" s="5" t="s">
        <v>21</v>
      </c>
      <c r="R66" s="5" t="s">
        <v>21</v>
      </c>
      <c r="S66" s="5" t="s">
        <v>21</v>
      </c>
      <c r="T66" s="5" t="s">
        <v>1349</v>
      </c>
      <c r="U66" s="5" t="s">
        <v>1350</v>
      </c>
      <c r="V66" s="5" t="s">
        <v>1351</v>
      </c>
      <c r="W66" s="5" t="s">
        <v>1352</v>
      </c>
      <c r="X66" s="5" t="s">
        <v>651</v>
      </c>
      <c r="Y66" s="5" t="s">
        <v>1353</v>
      </c>
      <c r="Z66" s="5" t="s">
        <v>1354</v>
      </c>
      <c r="AA66" s="5" t="s">
        <v>654</v>
      </c>
      <c r="AB66" s="5" t="s">
        <v>655</v>
      </c>
      <c r="AC66" s="5" t="s">
        <v>1355</v>
      </c>
      <c r="AD66" s="5" t="s">
        <v>1356</v>
      </c>
      <c r="AE66" s="5" t="s">
        <v>1357</v>
      </c>
      <c r="AF66" s="5">
        <v>41</v>
      </c>
      <c r="AG66" s="5">
        <v>54</v>
      </c>
      <c r="AH66" s="5">
        <v>67</v>
      </c>
      <c r="AI66" s="5">
        <v>4</v>
      </c>
      <c r="AJ66" s="5">
        <v>68</v>
      </c>
      <c r="AK66" s="5" t="s">
        <v>35</v>
      </c>
      <c r="AL66" s="5" t="s">
        <v>36</v>
      </c>
      <c r="AM66" s="5" t="s">
        <v>37</v>
      </c>
      <c r="AN66" s="5" t="s">
        <v>38</v>
      </c>
      <c r="AO66" s="5" t="s">
        <v>39</v>
      </c>
      <c r="AP66" s="5" t="s">
        <v>21</v>
      </c>
      <c r="AQ66" s="5" t="s">
        <v>40</v>
      </c>
      <c r="AR66" s="5" t="s">
        <v>41</v>
      </c>
      <c r="AS66" s="5" t="s">
        <v>782</v>
      </c>
      <c r="AT66" s="5">
        <v>2015</v>
      </c>
      <c r="AU66" s="5">
        <v>45</v>
      </c>
      <c r="AV66" s="5">
        <v>4</v>
      </c>
      <c r="AW66" s="5" t="s">
        <v>21</v>
      </c>
      <c r="AX66" s="5" t="s">
        <v>21</v>
      </c>
      <c r="AY66" s="5" t="s">
        <v>21</v>
      </c>
      <c r="AZ66" s="5" t="s">
        <v>21</v>
      </c>
      <c r="BA66" s="5">
        <v>919</v>
      </c>
      <c r="BB66" s="5">
        <v>931</v>
      </c>
      <c r="BC66" s="5" t="s">
        <v>21</v>
      </c>
      <c r="BD66" s="5" t="s">
        <v>1358</v>
      </c>
      <c r="BE66" s="5" t="str">
        <f>HYPERLINK("http://dx.doi.org/10.1007/s10803-014-2240-5","http://dx.doi.org/10.1007/s10803-014-2240-5")</f>
        <v>http://dx.doi.org/10.1007/s10803-014-2240-5</v>
      </c>
      <c r="BF66" s="5" t="s">
        <v>21</v>
      </c>
      <c r="BG66" s="5" t="s">
        <v>21</v>
      </c>
      <c r="BH66" s="5">
        <v>13</v>
      </c>
      <c r="BI66" s="5" t="s">
        <v>44</v>
      </c>
      <c r="BJ66" s="5" t="s">
        <v>45</v>
      </c>
      <c r="BK66" s="5" t="s">
        <v>46</v>
      </c>
      <c r="BL66" s="5" t="s">
        <v>1359</v>
      </c>
      <c r="BM66" s="5">
        <v>25261247</v>
      </c>
      <c r="BN66" s="5" t="s">
        <v>137</v>
      </c>
      <c r="BO66" s="5" t="s">
        <v>21</v>
      </c>
      <c r="BP66" s="5" t="s">
        <v>21</v>
      </c>
      <c r="BQ66" s="5" t="s">
        <v>49</v>
      </c>
      <c r="BR66" s="5" t="s">
        <v>1360</v>
      </c>
      <c r="BS66" s="5" t="str">
        <f>HYPERLINK("https%3A%2F%2Fwww.webofscience.com%2Fwos%2Fwoscc%2Ffull-record%2FWOS:000351546800004","View Full Record in Web of Science")</f>
        <v>View Full Record in Web of Science</v>
      </c>
    </row>
    <row r="67" spans="1:71" x14ac:dyDescent="0.25">
      <c r="A67" t="s">
        <v>19</v>
      </c>
      <c r="B67" s="5" t="s">
        <v>1361</v>
      </c>
      <c r="C67" s="5" t="s">
        <v>21</v>
      </c>
      <c r="D67" s="5" t="s">
        <v>21</v>
      </c>
      <c r="E67" s="5" t="s">
        <v>21</v>
      </c>
      <c r="F67" s="5" t="s">
        <v>1362</v>
      </c>
      <c r="G67" s="5" t="s">
        <v>21</v>
      </c>
      <c r="H67" s="5" t="s">
        <v>21</v>
      </c>
      <c r="I67" s="5" t="s">
        <v>1363</v>
      </c>
      <c r="J67" s="12" t="s">
        <v>1364</v>
      </c>
      <c r="K67" s="5" t="s">
        <v>21</v>
      </c>
      <c r="L67" s="5" t="s">
        <v>21</v>
      </c>
      <c r="M67" s="5" t="s">
        <v>25</v>
      </c>
      <c r="N67" s="5" t="s">
        <v>26</v>
      </c>
      <c r="O67" s="5" t="s">
        <v>21</v>
      </c>
      <c r="P67" s="5" t="s">
        <v>21</v>
      </c>
      <c r="Q67" s="5" t="s">
        <v>21</v>
      </c>
      <c r="R67" s="5" t="s">
        <v>21</v>
      </c>
      <c r="S67" s="5" t="s">
        <v>21</v>
      </c>
      <c r="T67" s="5" t="s">
        <v>1365</v>
      </c>
      <c r="U67" s="5" t="s">
        <v>1366</v>
      </c>
      <c r="V67" s="5" t="s">
        <v>1367</v>
      </c>
      <c r="W67" s="5" t="s">
        <v>1368</v>
      </c>
      <c r="X67" s="5" t="s">
        <v>1369</v>
      </c>
      <c r="Y67" s="5" t="s">
        <v>1370</v>
      </c>
      <c r="Z67" s="5" t="s">
        <v>1371</v>
      </c>
      <c r="AA67" s="5" t="s">
        <v>1372</v>
      </c>
      <c r="AB67" s="5" t="s">
        <v>1373</v>
      </c>
      <c r="AC67" s="5" t="s">
        <v>1374</v>
      </c>
      <c r="AD67" s="5" t="s">
        <v>1375</v>
      </c>
      <c r="AE67" s="5" t="s">
        <v>1376</v>
      </c>
      <c r="AF67" s="5">
        <v>44</v>
      </c>
      <c r="AG67" s="5">
        <v>53</v>
      </c>
      <c r="AH67" s="5">
        <v>58</v>
      </c>
      <c r="AI67" s="5">
        <v>3</v>
      </c>
      <c r="AJ67" s="5">
        <v>57</v>
      </c>
      <c r="AK67" s="5" t="s">
        <v>1377</v>
      </c>
      <c r="AL67" s="5" t="s">
        <v>64</v>
      </c>
      <c r="AM67" s="5" t="s">
        <v>1378</v>
      </c>
      <c r="AN67" s="5" t="s">
        <v>21</v>
      </c>
      <c r="AO67" s="5" t="s">
        <v>1379</v>
      </c>
      <c r="AP67" s="5" t="s">
        <v>21</v>
      </c>
      <c r="AQ67" s="5" t="s">
        <v>1380</v>
      </c>
      <c r="AR67" s="5" t="s">
        <v>1381</v>
      </c>
      <c r="AS67" s="5" t="s">
        <v>1382</v>
      </c>
      <c r="AT67" s="5">
        <v>2015</v>
      </c>
      <c r="AU67" s="5">
        <v>12</v>
      </c>
      <c r="AV67" s="5" t="s">
        <v>21</v>
      </c>
      <c r="AW67" s="5" t="s">
        <v>21</v>
      </c>
      <c r="AX67" s="5" t="s">
        <v>21</v>
      </c>
      <c r="AY67" s="5" t="s">
        <v>21</v>
      </c>
      <c r="AZ67" s="5" t="s">
        <v>21</v>
      </c>
      <c r="BA67" s="5" t="s">
        <v>21</v>
      </c>
      <c r="BB67" s="5" t="s">
        <v>21</v>
      </c>
      <c r="BC67" s="5">
        <v>17</v>
      </c>
      <c r="BD67" s="5" t="s">
        <v>1383</v>
      </c>
      <c r="BE67" s="5" t="str">
        <f>HYPERLINK("http://dx.doi.org/10.1186/s12984-015-0010-z","http://dx.doi.org/10.1186/s12984-015-0010-z")</f>
        <v>http://dx.doi.org/10.1186/s12984-015-0010-z</v>
      </c>
      <c r="BF67" s="5" t="s">
        <v>21</v>
      </c>
      <c r="BG67" s="5" t="s">
        <v>21</v>
      </c>
      <c r="BH67" s="5">
        <v>13</v>
      </c>
      <c r="BI67" s="5" t="s">
        <v>1384</v>
      </c>
      <c r="BJ67" s="5" t="s">
        <v>92</v>
      </c>
      <c r="BK67" s="5" t="s">
        <v>1385</v>
      </c>
      <c r="BL67" s="5" t="s">
        <v>1386</v>
      </c>
      <c r="BM67" s="5">
        <v>25885279</v>
      </c>
      <c r="BN67" s="5" t="s">
        <v>163</v>
      </c>
      <c r="BO67" s="5" t="s">
        <v>21</v>
      </c>
      <c r="BP67" s="5" t="s">
        <v>21</v>
      </c>
      <c r="BQ67" s="5" t="s">
        <v>49</v>
      </c>
      <c r="BR67" s="5" t="s">
        <v>1387</v>
      </c>
      <c r="BS67" s="5" t="str">
        <f>HYPERLINK("https%3A%2F%2Fwww.webofscience.com%2Fwos%2Fwoscc%2Ffull-record%2FWOS:000350500900001","View Full Record in Web of Science")</f>
        <v>View Full Record in Web of Science</v>
      </c>
    </row>
    <row r="68" spans="1:71" x14ac:dyDescent="0.25">
      <c r="A68" t="s">
        <v>19</v>
      </c>
      <c r="B68" s="5" t="s">
        <v>1388</v>
      </c>
      <c r="C68" s="5" t="s">
        <v>21</v>
      </c>
      <c r="D68" s="5" t="s">
        <v>21</v>
      </c>
      <c r="E68" s="5" t="s">
        <v>21</v>
      </c>
      <c r="F68" s="5" t="s">
        <v>1389</v>
      </c>
      <c r="G68" s="5" t="s">
        <v>21</v>
      </c>
      <c r="H68" s="5" t="s">
        <v>21</v>
      </c>
      <c r="I68" s="5" t="s">
        <v>1390</v>
      </c>
      <c r="J68" s="12" t="s">
        <v>24</v>
      </c>
      <c r="K68" s="5" t="s">
        <v>21</v>
      </c>
      <c r="L68" s="5" t="s">
        <v>21</v>
      </c>
      <c r="M68" s="5" t="s">
        <v>25</v>
      </c>
      <c r="N68" s="5" t="s">
        <v>26</v>
      </c>
      <c r="O68" s="5" t="s">
        <v>21</v>
      </c>
      <c r="P68" s="5" t="s">
        <v>21</v>
      </c>
      <c r="Q68" s="5" t="s">
        <v>21</v>
      </c>
      <c r="R68" s="5" t="s">
        <v>21</v>
      </c>
      <c r="S68" s="5" t="s">
        <v>21</v>
      </c>
      <c r="T68" s="5" t="s">
        <v>1391</v>
      </c>
      <c r="U68" s="5" t="s">
        <v>1392</v>
      </c>
      <c r="V68" s="5" t="s">
        <v>1393</v>
      </c>
      <c r="W68" s="5" t="s">
        <v>1394</v>
      </c>
      <c r="X68" s="5" t="s">
        <v>1395</v>
      </c>
      <c r="Y68" s="5" t="s">
        <v>1396</v>
      </c>
      <c r="Z68" s="5" t="s">
        <v>61</v>
      </c>
      <c r="AA68" s="5" t="s">
        <v>62</v>
      </c>
      <c r="AB68" s="5" t="s">
        <v>21</v>
      </c>
      <c r="AC68" s="5" t="s">
        <v>21</v>
      </c>
      <c r="AD68" s="5" t="s">
        <v>21</v>
      </c>
      <c r="AE68" s="5" t="s">
        <v>21</v>
      </c>
      <c r="AF68" s="5">
        <v>39</v>
      </c>
      <c r="AG68" s="5">
        <v>52</v>
      </c>
      <c r="AH68" s="5">
        <v>54</v>
      </c>
      <c r="AI68" s="5">
        <v>0</v>
      </c>
      <c r="AJ68" s="5">
        <v>46</v>
      </c>
      <c r="AK68" s="5" t="s">
        <v>35</v>
      </c>
      <c r="AL68" s="5" t="s">
        <v>36</v>
      </c>
      <c r="AM68" s="5" t="s">
        <v>37</v>
      </c>
      <c r="AN68" s="5" t="s">
        <v>38</v>
      </c>
      <c r="AO68" s="5" t="s">
        <v>39</v>
      </c>
      <c r="AP68" s="5" t="s">
        <v>21</v>
      </c>
      <c r="AQ68" s="5" t="s">
        <v>40</v>
      </c>
      <c r="AR68" s="5" t="s">
        <v>41</v>
      </c>
      <c r="AS68" s="5" t="s">
        <v>199</v>
      </c>
      <c r="AT68" s="5">
        <v>2012</v>
      </c>
      <c r="AU68" s="5">
        <v>42</v>
      </c>
      <c r="AV68" s="5">
        <v>8</v>
      </c>
      <c r="AW68" s="5" t="s">
        <v>21</v>
      </c>
      <c r="AX68" s="5" t="s">
        <v>21</v>
      </c>
      <c r="AY68" s="5" t="s">
        <v>21</v>
      </c>
      <c r="AZ68" s="5" t="s">
        <v>21</v>
      </c>
      <c r="BA68" s="5">
        <v>1642</v>
      </c>
      <c r="BB68" s="5">
        <v>1650</v>
      </c>
      <c r="BC68" s="5" t="s">
        <v>21</v>
      </c>
      <c r="BD68" s="5" t="s">
        <v>1397</v>
      </c>
      <c r="BE68" s="5" t="str">
        <f>HYPERLINK("http://dx.doi.org/10.1007/s10803-011-1404-9","http://dx.doi.org/10.1007/s10803-011-1404-9")</f>
        <v>http://dx.doi.org/10.1007/s10803-011-1404-9</v>
      </c>
      <c r="BF68" s="5" t="s">
        <v>21</v>
      </c>
      <c r="BG68" s="5" t="s">
        <v>21</v>
      </c>
      <c r="BH68" s="5">
        <v>9</v>
      </c>
      <c r="BI68" s="5" t="s">
        <v>44</v>
      </c>
      <c r="BJ68" s="5" t="s">
        <v>45</v>
      </c>
      <c r="BK68" s="5" t="s">
        <v>46</v>
      </c>
      <c r="BL68" s="5" t="s">
        <v>1398</v>
      </c>
      <c r="BM68" s="5">
        <v>22102292</v>
      </c>
      <c r="BN68" s="5" t="s">
        <v>21</v>
      </c>
      <c r="BO68" s="5" t="s">
        <v>21</v>
      </c>
      <c r="BP68" s="5" t="s">
        <v>21</v>
      </c>
      <c r="BQ68" s="5" t="s">
        <v>49</v>
      </c>
      <c r="BR68" s="5" t="s">
        <v>1399</v>
      </c>
      <c r="BS68" s="5" t="str">
        <f>HYPERLINK("https%3A%2F%2Fwww.webofscience.com%2Fwos%2Fwoscc%2Ffull-record%2FWOS:000306697600012","View Full Record in Web of Science")</f>
        <v>View Full Record in Web of Science</v>
      </c>
    </row>
    <row r="69" spans="1:71" x14ac:dyDescent="0.25">
      <c r="A69" t="s">
        <v>19</v>
      </c>
      <c r="B69" s="5" t="s">
        <v>1400</v>
      </c>
      <c r="C69" s="5" t="s">
        <v>21</v>
      </c>
      <c r="D69" s="5" t="s">
        <v>21</v>
      </c>
      <c r="E69" s="5" t="s">
        <v>21</v>
      </c>
      <c r="F69" s="5" t="s">
        <v>1401</v>
      </c>
      <c r="G69" s="5" t="s">
        <v>21</v>
      </c>
      <c r="H69" s="5" t="s">
        <v>21</v>
      </c>
      <c r="I69" s="5" t="s">
        <v>1402</v>
      </c>
      <c r="J69" s="12" t="s">
        <v>1403</v>
      </c>
      <c r="K69" s="5" t="s">
        <v>21</v>
      </c>
      <c r="L69" s="5" t="s">
        <v>21</v>
      </c>
      <c r="M69" s="5" t="s">
        <v>25</v>
      </c>
      <c r="N69" s="5" t="s">
        <v>26</v>
      </c>
      <c r="O69" s="5" t="s">
        <v>21</v>
      </c>
      <c r="P69" s="5" t="s">
        <v>21</v>
      </c>
      <c r="Q69" s="5" t="s">
        <v>21</v>
      </c>
      <c r="R69" s="5" t="s">
        <v>21</v>
      </c>
      <c r="S69" s="5" t="s">
        <v>21</v>
      </c>
      <c r="T69" s="5" t="s">
        <v>1404</v>
      </c>
      <c r="U69" s="5" t="s">
        <v>1405</v>
      </c>
      <c r="V69" s="5" t="s">
        <v>1406</v>
      </c>
      <c r="W69" s="5" t="s">
        <v>1407</v>
      </c>
      <c r="X69" s="5" t="s">
        <v>1408</v>
      </c>
      <c r="Y69" s="5" t="s">
        <v>1409</v>
      </c>
      <c r="Z69" s="5" t="s">
        <v>1410</v>
      </c>
      <c r="AA69" s="5" t="s">
        <v>1411</v>
      </c>
      <c r="AB69" s="5" t="s">
        <v>1412</v>
      </c>
      <c r="AC69" s="5" t="s">
        <v>21</v>
      </c>
      <c r="AD69" s="5" t="s">
        <v>21</v>
      </c>
      <c r="AE69" s="5" t="s">
        <v>21</v>
      </c>
      <c r="AF69" s="5">
        <v>54</v>
      </c>
      <c r="AG69" s="5">
        <v>51</v>
      </c>
      <c r="AH69" s="5">
        <v>55</v>
      </c>
      <c r="AI69" s="5">
        <v>26</v>
      </c>
      <c r="AJ69" s="5">
        <v>111</v>
      </c>
      <c r="AK69" s="5" t="s">
        <v>193</v>
      </c>
      <c r="AL69" s="5" t="s">
        <v>194</v>
      </c>
      <c r="AM69" s="5" t="s">
        <v>1413</v>
      </c>
      <c r="AN69" s="5" t="s">
        <v>21</v>
      </c>
      <c r="AO69" s="5" t="s">
        <v>1414</v>
      </c>
      <c r="AP69" s="5" t="s">
        <v>21</v>
      </c>
      <c r="AQ69" s="5" t="s">
        <v>1403</v>
      </c>
      <c r="AR69" s="5" t="s">
        <v>1415</v>
      </c>
      <c r="AS69" s="5" t="s">
        <v>334</v>
      </c>
      <c r="AT69" s="5">
        <v>2022</v>
      </c>
      <c r="AU69" s="5">
        <v>9</v>
      </c>
      <c r="AV69" s="5">
        <v>2</v>
      </c>
      <c r="AW69" s="5" t="s">
        <v>21</v>
      </c>
      <c r="AX69" s="5" t="s">
        <v>21</v>
      </c>
      <c r="AY69" s="5" t="s">
        <v>21</v>
      </c>
      <c r="AZ69" s="5" t="s">
        <v>21</v>
      </c>
      <c r="BA69" s="5" t="s">
        <v>21</v>
      </c>
      <c r="BB69" s="5" t="s">
        <v>21</v>
      </c>
      <c r="BC69" s="5">
        <v>181</v>
      </c>
      <c r="BD69" s="5" t="s">
        <v>1416</v>
      </c>
      <c r="BE69" s="5" t="str">
        <f>HYPERLINK("http://dx.doi.org/10.3390/children9020181","http://dx.doi.org/10.3390/children9020181")</f>
        <v>http://dx.doi.org/10.3390/children9020181</v>
      </c>
      <c r="BF69" s="5" t="s">
        <v>21</v>
      </c>
      <c r="BG69" s="5" t="s">
        <v>21</v>
      </c>
      <c r="BH69" s="5">
        <v>13</v>
      </c>
      <c r="BI69" s="5" t="s">
        <v>1417</v>
      </c>
      <c r="BJ69" s="5" t="s">
        <v>92</v>
      </c>
      <c r="BK69" s="5" t="s">
        <v>1417</v>
      </c>
      <c r="BL69" s="5" t="s">
        <v>1418</v>
      </c>
      <c r="BM69" s="5">
        <v>35204903</v>
      </c>
      <c r="BN69" s="5" t="s">
        <v>864</v>
      </c>
      <c r="BO69" s="5" t="s">
        <v>21</v>
      </c>
      <c r="BP69" s="5" t="s">
        <v>21</v>
      </c>
      <c r="BQ69" s="5" t="s">
        <v>49</v>
      </c>
      <c r="BR69" s="5" t="s">
        <v>1419</v>
      </c>
      <c r="BS69" s="5" t="str">
        <f>HYPERLINK("https%3A%2F%2Fwww.webofscience.com%2Fwos%2Fwoscc%2Ffull-record%2FWOS:000763436300001","View Full Record in Web of Science")</f>
        <v>View Full Record in Web of Science</v>
      </c>
    </row>
    <row r="70" spans="1:71" x14ac:dyDescent="0.25">
      <c r="A70" t="s">
        <v>19</v>
      </c>
      <c r="B70" s="5" t="s">
        <v>1420</v>
      </c>
      <c r="C70" s="5" t="s">
        <v>21</v>
      </c>
      <c r="D70" s="5" t="s">
        <v>21</v>
      </c>
      <c r="E70" s="5" t="s">
        <v>21</v>
      </c>
      <c r="F70" s="5" t="s">
        <v>1421</v>
      </c>
      <c r="G70" s="5" t="s">
        <v>21</v>
      </c>
      <c r="H70" s="5" t="s">
        <v>21</v>
      </c>
      <c r="I70" s="5" t="s">
        <v>1422</v>
      </c>
      <c r="J70" s="12" t="s">
        <v>1423</v>
      </c>
      <c r="K70" s="5" t="s">
        <v>21</v>
      </c>
      <c r="L70" s="5" t="s">
        <v>21</v>
      </c>
      <c r="M70" s="5" t="s">
        <v>25</v>
      </c>
      <c r="N70" s="5" t="s">
        <v>76</v>
      </c>
      <c r="O70" s="5" t="s">
        <v>21</v>
      </c>
      <c r="P70" s="5" t="s">
        <v>21</v>
      </c>
      <c r="Q70" s="5" t="s">
        <v>21</v>
      </c>
      <c r="R70" s="5" t="s">
        <v>21</v>
      </c>
      <c r="S70" s="5" t="s">
        <v>21</v>
      </c>
      <c r="T70" s="5" t="s">
        <v>1424</v>
      </c>
      <c r="U70" s="5" t="s">
        <v>1425</v>
      </c>
      <c r="V70" s="5" t="s">
        <v>1426</v>
      </c>
      <c r="W70" s="5" t="s">
        <v>1427</v>
      </c>
      <c r="X70" s="5" t="s">
        <v>1428</v>
      </c>
      <c r="Y70" s="5" t="s">
        <v>1429</v>
      </c>
      <c r="Z70" s="5" t="s">
        <v>1430</v>
      </c>
      <c r="AA70" s="5" t="s">
        <v>1431</v>
      </c>
      <c r="AB70" s="5" t="s">
        <v>1432</v>
      </c>
      <c r="AC70" s="5" t="s">
        <v>21</v>
      </c>
      <c r="AD70" s="5" t="s">
        <v>21</v>
      </c>
      <c r="AE70" s="5" t="s">
        <v>21</v>
      </c>
      <c r="AF70" s="5">
        <v>40</v>
      </c>
      <c r="AG70" s="5">
        <v>51</v>
      </c>
      <c r="AH70" s="5">
        <v>52</v>
      </c>
      <c r="AI70" s="5">
        <v>5</v>
      </c>
      <c r="AJ70" s="5">
        <v>35</v>
      </c>
      <c r="AK70" s="5" t="s">
        <v>1377</v>
      </c>
      <c r="AL70" s="5" t="s">
        <v>64</v>
      </c>
      <c r="AM70" s="5" t="s">
        <v>1378</v>
      </c>
      <c r="AN70" s="5" t="s">
        <v>1433</v>
      </c>
      <c r="AO70" s="5" t="s">
        <v>21</v>
      </c>
      <c r="AP70" s="5" t="s">
        <v>21</v>
      </c>
      <c r="AQ70" s="5" t="s">
        <v>1423</v>
      </c>
      <c r="AR70" s="5" t="s">
        <v>1434</v>
      </c>
      <c r="AS70" s="5" t="s">
        <v>1435</v>
      </c>
      <c r="AT70" s="5">
        <v>2021</v>
      </c>
      <c r="AU70" s="5">
        <v>21</v>
      </c>
      <c r="AV70" s="5">
        <v>1</v>
      </c>
      <c r="AW70" s="5" t="s">
        <v>21</v>
      </c>
      <c r="AX70" s="5" t="s">
        <v>21</v>
      </c>
      <c r="AY70" s="5" t="s">
        <v>21</v>
      </c>
      <c r="AZ70" s="5" t="s">
        <v>21</v>
      </c>
      <c r="BA70" s="5" t="s">
        <v>21</v>
      </c>
      <c r="BB70" s="5" t="s">
        <v>21</v>
      </c>
      <c r="BC70" s="5">
        <v>244</v>
      </c>
      <c r="BD70" s="5" t="s">
        <v>1436</v>
      </c>
      <c r="BE70" s="5" t="str">
        <f>HYPERLINK("http://dx.doi.org/10.1186/s12903-021-01602-3","http://dx.doi.org/10.1186/s12903-021-01602-3")</f>
        <v>http://dx.doi.org/10.1186/s12903-021-01602-3</v>
      </c>
      <c r="BF70" s="5" t="s">
        <v>21</v>
      </c>
      <c r="BG70" s="5" t="s">
        <v>21</v>
      </c>
      <c r="BH70" s="5">
        <v>11</v>
      </c>
      <c r="BI70" s="5" t="s">
        <v>1437</v>
      </c>
      <c r="BJ70" s="5" t="s">
        <v>92</v>
      </c>
      <c r="BK70" s="5" t="s">
        <v>1437</v>
      </c>
      <c r="BL70" s="5" t="s">
        <v>1438</v>
      </c>
      <c r="BM70" s="5">
        <v>33962624</v>
      </c>
      <c r="BN70" s="5" t="s">
        <v>163</v>
      </c>
      <c r="BO70" s="5" t="s">
        <v>21</v>
      </c>
      <c r="BP70" s="5" t="s">
        <v>21</v>
      </c>
      <c r="BQ70" s="5" t="s">
        <v>49</v>
      </c>
      <c r="BR70" s="5" t="s">
        <v>1439</v>
      </c>
      <c r="BS70" s="5" t="str">
        <f>HYPERLINK("https%3A%2F%2Fwww.webofscience.com%2Fwos%2Fwoscc%2Ffull-record%2FWOS:000656237000003","View Full Record in Web of Science")</f>
        <v>View Full Record in Web of Science</v>
      </c>
    </row>
    <row r="71" spans="1:71" x14ac:dyDescent="0.25">
      <c r="A71" t="s">
        <v>19</v>
      </c>
      <c r="B71" s="5" t="s">
        <v>1440</v>
      </c>
      <c r="C71" s="5" t="s">
        <v>21</v>
      </c>
      <c r="D71" s="5" t="s">
        <v>21</v>
      </c>
      <c r="E71" s="5" t="s">
        <v>21</v>
      </c>
      <c r="F71" s="5" t="s">
        <v>1441</v>
      </c>
      <c r="G71" s="5" t="s">
        <v>21</v>
      </c>
      <c r="H71" s="5" t="s">
        <v>21</v>
      </c>
      <c r="I71" s="5" t="s">
        <v>1442</v>
      </c>
      <c r="J71" s="12" t="s">
        <v>1443</v>
      </c>
      <c r="K71" s="5" t="s">
        <v>21</v>
      </c>
      <c r="L71" s="5" t="s">
        <v>21</v>
      </c>
      <c r="M71" s="5" t="s">
        <v>25</v>
      </c>
      <c r="N71" s="5" t="s">
        <v>26</v>
      </c>
      <c r="O71" s="5" t="s">
        <v>21</v>
      </c>
      <c r="P71" s="5" t="s">
        <v>21</v>
      </c>
      <c r="Q71" s="5" t="s">
        <v>21</v>
      </c>
      <c r="R71" s="5" t="s">
        <v>21</v>
      </c>
      <c r="S71" s="5" t="s">
        <v>21</v>
      </c>
      <c r="T71" s="5" t="s">
        <v>1444</v>
      </c>
      <c r="U71" s="5" t="s">
        <v>1445</v>
      </c>
      <c r="V71" s="5" t="s">
        <v>1446</v>
      </c>
      <c r="W71" s="5" t="s">
        <v>1447</v>
      </c>
      <c r="X71" s="5" t="s">
        <v>1448</v>
      </c>
      <c r="Y71" s="5" t="s">
        <v>1449</v>
      </c>
      <c r="Z71" s="5" t="s">
        <v>1450</v>
      </c>
      <c r="AA71" s="5" t="s">
        <v>1451</v>
      </c>
      <c r="AB71" s="5" t="s">
        <v>1452</v>
      </c>
      <c r="AC71" s="5" t="s">
        <v>21</v>
      </c>
      <c r="AD71" s="5" t="s">
        <v>21</v>
      </c>
      <c r="AE71" s="5" t="s">
        <v>21</v>
      </c>
      <c r="AF71" s="5">
        <v>78</v>
      </c>
      <c r="AG71" s="5">
        <v>51</v>
      </c>
      <c r="AH71" s="5">
        <v>54</v>
      </c>
      <c r="AI71" s="5">
        <v>10</v>
      </c>
      <c r="AJ71" s="5">
        <v>30</v>
      </c>
      <c r="AK71" s="5" t="s">
        <v>493</v>
      </c>
      <c r="AL71" s="5" t="s">
        <v>494</v>
      </c>
      <c r="AM71" s="5" t="s">
        <v>495</v>
      </c>
      <c r="AN71" s="5" t="s">
        <v>1453</v>
      </c>
      <c r="AO71" s="5" t="s">
        <v>1454</v>
      </c>
      <c r="AP71" s="5" t="s">
        <v>21</v>
      </c>
      <c r="AQ71" s="5" t="s">
        <v>1455</v>
      </c>
      <c r="AR71" s="5" t="s">
        <v>1456</v>
      </c>
      <c r="AS71" s="5" t="s">
        <v>1457</v>
      </c>
      <c r="AT71" s="5">
        <v>2021</v>
      </c>
      <c r="AU71" s="5">
        <v>29</v>
      </c>
      <c r="AV71" s="5">
        <v>3</v>
      </c>
      <c r="AW71" s="5" t="s">
        <v>21</v>
      </c>
      <c r="AX71" s="5" t="s">
        <v>21</v>
      </c>
      <c r="AY71" s="5" t="s">
        <v>21</v>
      </c>
      <c r="AZ71" s="5" t="s">
        <v>21</v>
      </c>
      <c r="BA71" s="5">
        <v>345</v>
      </c>
      <c r="BB71" s="5">
        <v>364</v>
      </c>
      <c r="BC71" s="5" t="s">
        <v>21</v>
      </c>
      <c r="BD71" s="5" t="s">
        <v>1458</v>
      </c>
      <c r="BE71" s="5" t="str">
        <f>HYPERLINK("http://dx.doi.org/10.1080/10494820.2019.1579236","http://dx.doi.org/10.1080/10494820.2019.1579236")</f>
        <v>http://dx.doi.org/10.1080/10494820.2019.1579236</v>
      </c>
      <c r="BF71" s="5" t="s">
        <v>21</v>
      </c>
      <c r="BG71" s="5" t="s">
        <v>21</v>
      </c>
      <c r="BH71" s="5">
        <v>20</v>
      </c>
      <c r="BI71" s="5" t="s">
        <v>503</v>
      </c>
      <c r="BJ71" s="5" t="s">
        <v>45</v>
      </c>
      <c r="BK71" s="5" t="s">
        <v>503</v>
      </c>
      <c r="BL71" s="5" t="s">
        <v>1459</v>
      </c>
      <c r="BM71" s="5" t="s">
        <v>21</v>
      </c>
      <c r="BN71" s="5" t="s">
        <v>21</v>
      </c>
      <c r="BO71" s="5" t="s">
        <v>21</v>
      </c>
      <c r="BP71" s="5" t="s">
        <v>21</v>
      </c>
      <c r="BQ71" s="5" t="s">
        <v>49</v>
      </c>
      <c r="BR71" s="5" t="s">
        <v>1460</v>
      </c>
      <c r="BS71" s="5" t="str">
        <f>HYPERLINK("https%3A%2F%2Fwww.webofscience.com%2Fwos%2Fwoscc%2Ffull-record%2FWOS:000655315200001","View Full Record in Web of Science")</f>
        <v>View Full Record in Web of Science</v>
      </c>
    </row>
    <row r="72" spans="1:71" x14ac:dyDescent="0.25">
      <c r="A72" t="s">
        <v>19</v>
      </c>
      <c r="B72" s="5" t="s">
        <v>1461</v>
      </c>
      <c r="C72" s="5" t="s">
        <v>21</v>
      </c>
      <c r="D72" s="5" t="s">
        <v>21</v>
      </c>
      <c r="E72" s="5" t="s">
        <v>21</v>
      </c>
      <c r="F72" s="5" t="s">
        <v>1462</v>
      </c>
      <c r="G72" s="5" t="s">
        <v>21</v>
      </c>
      <c r="H72" s="5" t="s">
        <v>21</v>
      </c>
      <c r="I72" s="5" t="s">
        <v>1463</v>
      </c>
      <c r="J72" s="12" t="s">
        <v>1464</v>
      </c>
      <c r="K72" s="5" t="s">
        <v>21</v>
      </c>
      <c r="L72" s="5" t="s">
        <v>21</v>
      </c>
      <c r="M72" s="5" t="s">
        <v>25</v>
      </c>
      <c r="N72" s="5" t="s">
        <v>26</v>
      </c>
      <c r="O72" s="5" t="s">
        <v>21</v>
      </c>
      <c r="P72" s="5" t="s">
        <v>21</v>
      </c>
      <c r="Q72" s="5" t="s">
        <v>21</v>
      </c>
      <c r="R72" s="5" t="s">
        <v>21</v>
      </c>
      <c r="S72" s="5" t="s">
        <v>21</v>
      </c>
      <c r="T72" s="5" t="s">
        <v>1465</v>
      </c>
      <c r="U72" s="5" t="s">
        <v>1466</v>
      </c>
      <c r="V72" s="5" t="s">
        <v>1467</v>
      </c>
      <c r="W72" s="5" t="s">
        <v>1468</v>
      </c>
      <c r="X72" s="5" t="s">
        <v>1469</v>
      </c>
      <c r="Y72" s="5" t="s">
        <v>1470</v>
      </c>
      <c r="Z72" s="5" t="s">
        <v>1471</v>
      </c>
      <c r="AA72" s="5" t="s">
        <v>1472</v>
      </c>
      <c r="AB72" s="5" t="s">
        <v>1473</v>
      </c>
      <c r="AC72" s="5" t="s">
        <v>21</v>
      </c>
      <c r="AD72" s="5" t="s">
        <v>21</v>
      </c>
      <c r="AE72" s="5" t="s">
        <v>21</v>
      </c>
      <c r="AF72" s="5">
        <v>93</v>
      </c>
      <c r="AG72" s="5">
        <v>51</v>
      </c>
      <c r="AH72" s="5">
        <v>65</v>
      </c>
      <c r="AI72" s="5">
        <v>5</v>
      </c>
      <c r="AJ72" s="5">
        <v>42</v>
      </c>
      <c r="AK72" s="5" t="s">
        <v>733</v>
      </c>
      <c r="AL72" s="5" t="s">
        <v>734</v>
      </c>
      <c r="AM72" s="5" t="s">
        <v>735</v>
      </c>
      <c r="AN72" s="5" t="s">
        <v>1474</v>
      </c>
      <c r="AO72" s="5" t="s">
        <v>1475</v>
      </c>
      <c r="AP72" s="5" t="s">
        <v>21</v>
      </c>
      <c r="AQ72" s="5" t="s">
        <v>1476</v>
      </c>
      <c r="AR72" s="5" t="s">
        <v>1477</v>
      </c>
      <c r="AS72" s="5" t="s">
        <v>1478</v>
      </c>
      <c r="AT72" s="5">
        <v>2017</v>
      </c>
      <c r="AU72" s="5">
        <v>38</v>
      </c>
      <c r="AV72" s="5">
        <v>6</v>
      </c>
      <c r="AW72" s="5" t="s">
        <v>21</v>
      </c>
      <c r="AX72" s="5" t="s">
        <v>21</v>
      </c>
      <c r="AY72" s="5" t="s">
        <v>21</v>
      </c>
      <c r="AZ72" s="5" t="s">
        <v>21</v>
      </c>
      <c r="BA72" s="5">
        <v>371</v>
      </c>
      <c r="BB72" s="5">
        <v>386</v>
      </c>
      <c r="BC72" s="5" t="s">
        <v>21</v>
      </c>
      <c r="BD72" s="5" t="s">
        <v>1479</v>
      </c>
      <c r="BE72" s="5" t="str">
        <f>HYPERLINK("http://dx.doi.org/10.1177/0741932517729508","http://dx.doi.org/10.1177/0741932517729508")</f>
        <v>http://dx.doi.org/10.1177/0741932517729508</v>
      </c>
      <c r="BF72" s="5" t="s">
        <v>21</v>
      </c>
      <c r="BG72" s="5" t="s">
        <v>21</v>
      </c>
      <c r="BH72" s="5">
        <v>16</v>
      </c>
      <c r="BI72" s="5" t="s">
        <v>1480</v>
      </c>
      <c r="BJ72" s="5" t="s">
        <v>45</v>
      </c>
      <c r="BK72" s="5" t="s">
        <v>503</v>
      </c>
      <c r="BL72" s="5" t="s">
        <v>1481</v>
      </c>
      <c r="BM72" s="5" t="s">
        <v>21</v>
      </c>
      <c r="BN72" s="5" t="s">
        <v>21</v>
      </c>
      <c r="BO72" s="5" t="s">
        <v>21</v>
      </c>
      <c r="BP72" s="5" t="s">
        <v>21</v>
      </c>
      <c r="BQ72" s="5" t="s">
        <v>49</v>
      </c>
      <c r="BR72" s="5" t="s">
        <v>1482</v>
      </c>
      <c r="BS72" s="5" t="str">
        <f>HYPERLINK("https%3A%2F%2Fwww.webofscience.com%2Fwos%2Fwoscc%2Ffull-record%2FWOS:000415232600004","View Full Record in Web of Science")</f>
        <v>View Full Record in Web of Science</v>
      </c>
    </row>
    <row r="73" spans="1:71" x14ac:dyDescent="0.25">
      <c r="A73" t="s">
        <v>19</v>
      </c>
      <c r="B73" s="5" t="s">
        <v>1483</v>
      </c>
      <c r="C73" s="5" t="s">
        <v>21</v>
      </c>
      <c r="D73" s="5" t="s">
        <v>21</v>
      </c>
      <c r="E73" s="5" t="s">
        <v>21</v>
      </c>
      <c r="F73" s="5" t="s">
        <v>1484</v>
      </c>
      <c r="G73" s="5" t="s">
        <v>21</v>
      </c>
      <c r="H73" s="5" t="s">
        <v>21</v>
      </c>
      <c r="I73" s="5" t="s">
        <v>1485</v>
      </c>
      <c r="J73" s="12" t="s">
        <v>1486</v>
      </c>
      <c r="K73" s="5" t="s">
        <v>21</v>
      </c>
      <c r="L73" s="5" t="s">
        <v>21</v>
      </c>
      <c r="M73" s="5" t="s">
        <v>25</v>
      </c>
      <c r="N73" s="5" t="s">
        <v>26</v>
      </c>
      <c r="O73" s="5" t="s">
        <v>21</v>
      </c>
      <c r="P73" s="5" t="s">
        <v>21</v>
      </c>
      <c r="Q73" s="5" t="s">
        <v>21</v>
      </c>
      <c r="R73" s="5" t="s">
        <v>21</v>
      </c>
      <c r="S73" s="5" t="s">
        <v>21</v>
      </c>
      <c r="T73" s="5" t="s">
        <v>1487</v>
      </c>
      <c r="U73" s="5" t="s">
        <v>1488</v>
      </c>
      <c r="V73" s="5" t="s">
        <v>1489</v>
      </c>
      <c r="W73" s="5" t="s">
        <v>1490</v>
      </c>
      <c r="X73" s="5" t="s">
        <v>1491</v>
      </c>
      <c r="Y73" s="5" t="s">
        <v>1492</v>
      </c>
      <c r="Z73" s="5" t="s">
        <v>1493</v>
      </c>
      <c r="AA73" s="5" t="s">
        <v>1494</v>
      </c>
      <c r="AB73" s="5" t="s">
        <v>924</v>
      </c>
      <c r="AC73" s="5" t="s">
        <v>1495</v>
      </c>
      <c r="AD73" s="5" t="s">
        <v>1495</v>
      </c>
      <c r="AE73" s="5" t="s">
        <v>1496</v>
      </c>
      <c r="AF73" s="5">
        <v>55</v>
      </c>
      <c r="AG73" s="5">
        <v>51</v>
      </c>
      <c r="AH73" s="5">
        <v>58</v>
      </c>
      <c r="AI73" s="5">
        <v>0</v>
      </c>
      <c r="AJ73" s="5">
        <v>50</v>
      </c>
      <c r="AK73" s="5" t="s">
        <v>904</v>
      </c>
      <c r="AL73" s="5" t="s">
        <v>1497</v>
      </c>
      <c r="AM73" s="5" t="s">
        <v>1498</v>
      </c>
      <c r="AN73" s="5" t="s">
        <v>1499</v>
      </c>
      <c r="AO73" s="5" t="s">
        <v>1500</v>
      </c>
      <c r="AP73" s="5" t="s">
        <v>21</v>
      </c>
      <c r="AQ73" s="5" t="s">
        <v>1501</v>
      </c>
      <c r="AR73" s="5" t="s">
        <v>1502</v>
      </c>
      <c r="AS73" s="5" t="s">
        <v>269</v>
      </c>
      <c r="AT73" s="5">
        <v>2010</v>
      </c>
      <c r="AU73" s="5">
        <v>2</v>
      </c>
      <c r="AV73" s="5">
        <v>4</v>
      </c>
      <c r="AW73" s="5" t="s">
        <v>21</v>
      </c>
      <c r="AX73" s="5" t="s">
        <v>21</v>
      </c>
      <c r="AY73" s="5" t="s">
        <v>501</v>
      </c>
      <c r="AZ73" s="5" t="s">
        <v>21</v>
      </c>
      <c r="BA73" s="5">
        <v>391</v>
      </c>
      <c r="BB73" s="5">
        <v>403</v>
      </c>
      <c r="BC73" s="5" t="s">
        <v>21</v>
      </c>
      <c r="BD73" s="5" t="s">
        <v>1503</v>
      </c>
      <c r="BE73" s="5" t="str">
        <f>HYPERLINK("http://dx.doi.org/10.1007/s12369-010-0063-x","http://dx.doi.org/10.1007/s12369-010-0063-x")</f>
        <v>http://dx.doi.org/10.1007/s12369-010-0063-x</v>
      </c>
      <c r="BF73" s="5" t="s">
        <v>21</v>
      </c>
      <c r="BG73" s="5" t="s">
        <v>21</v>
      </c>
      <c r="BH73" s="5">
        <v>13</v>
      </c>
      <c r="BI73" s="5" t="s">
        <v>1504</v>
      </c>
      <c r="BJ73" s="5" t="s">
        <v>524</v>
      </c>
      <c r="BK73" s="5" t="s">
        <v>1504</v>
      </c>
      <c r="BL73" s="5" t="s">
        <v>1505</v>
      </c>
      <c r="BM73" s="5" t="s">
        <v>21</v>
      </c>
      <c r="BN73" s="5" t="s">
        <v>21</v>
      </c>
      <c r="BO73" s="5" t="s">
        <v>21</v>
      </c>
      <c r="BP73" s="5" t="s">
        <v>21</v>
      </c>
      <c r="BQ73" s="5" t="s">
        <v>49</v>
      </c>
      <c r="BR73" s="5" t="s">
        <v>1506</v>
      </c>
      <c r="BS73" s="5" t="str">
        <f>HYPERLINK("https%3A%2F%2Fwww.webofscience.com%2Fwos%2Fwoscc%2Ffull-record%2FWOS:000208893600005","View Full Record in Web of Science")</f>
        <v>View Full Record in Web of Science</v>
      </c>
    </row>
    <row r="74" spans="1:71" x14ac:dyDescent="0.25">
      <c r="A74" t="s">
        <v>19</v>
      </c>
      <c r="B74" s="5" t="s">
        <v>1507</v>
      </c>
      <c r="C74" s="5" t="s">
        <v>21</v>
      </c>
      <c r="D74" s="5" t="s">
        <v>21</v>
      </c>
      <c r="E74" s="5" t="s">
        <v>21</v>
      </c>
      <c r="F74" s="5" t="s">
        <v>1508</v>
      </c>
      <c r="G74" s="5" t="s">
        <v>21</v>
      </c>
      <c r="H74" s="5" t="s">
        <v>21</v>
      </c>
      <c r="I74" s="5" t="s">
        <v>1509</v>
      </c>
      <c r="J74" s="12" t="s">
        <v>1510</v>
      </c>
      <c r="K74" s="5" t="s">
        <v>21</v>
      </c>
      <c r="L74" s="5" t="s">
        <v>21</v>
      </c>
      <c r="M74" s="5" t="s">
        <v>25</v>
      </c>
      <c r="N74" s="5" t="s">
        <v>76</v>
      </c>
      <c r="O74" s="5" t="s">
        <v>21</v>
      </c>
      <c r="P74" s="5" t="s">
        <v>21</v>
      </c>
      <c r="Q74" s="5" t="s">
        <v>21</v>
      </c>
      <c r="R74" s="5" t="s">
        <v>21</v>
      </c>
      <c r="S74" s="5" t="s">
        <v>21</v>
      </c>
      <c r="T74" s="5" t="s">
        <v>1511</v>
      </c>
      <c r="U74" s="5" t="s">
        <v>1512</v>
      </c>
      <c r="V74" s="5" t="s">
        <v>1513</v>
      </c>
      <c r="W74" s="5" t="s">
        <v>1514</v>
      </c>
      <c r="X74" s="5" t="s">
        <v>1515</v>
      </c>
      <c r="Y74" s="5" t="s">
        <v>1516</v>
      </c>
      <c r="Z74" s="5" t="s">
        <v>1517</v>
      </c>
      <c r="AA74" s="5" t="s">
        <v>1518</v>
      </c>
      <c r="AB74" s="5" t="s">
        <v>1519</v>
      </c>
      <c r="AC74" s="5" t="s">
        <v>21</v>
      </c>
      <c r="AD74" s="5" t="s">
        <v>21</v>
      </c>
      <c r="AE74" s="5" t="s">
        <v>21</v>
      </c>
      <c r="AF74" s="5">
        <v>133</v>
      </c>
      <c r="AG74" s="5">
        <v>50</v>
      </c>
      <c r="AH74" s="5">
        <v>51</v>
      </c>
      <c r="AI74" s="5">
        <v>5</v>
      </c>
      <c r="AJ74" s="5">
        <v>83</v>
      </c>
      <c r="AK74" s="5" t="s">
        <v>1292</v>
      </c>
      <c r="AL74" s="5" t="s">
        <v>252</v>
      </c>
      <c r="AM74" s="5" t="s">
        <v>1293</v>
      </c>
      <c r="AN74" s="5" t="s">
        <v>1520</v>
      </c>
      <c r="AO74" s="5" t="s">
        <v>1521</v>
      </c>
      <c r="AP74" s="5" t="s">
        <v>21</v>
      </c>
      <c r="AQ74" s="5" t="s">
        <v>1522</v>
      </c>
      <c r="AR74" s="5" t="s">
        <v>1523</v>
      </c>
      <c r="AS74" s="5" t="s">
        <v>334</v>
      </c>
      <c r="AT74" s="5">
        <v>2019</v>
      </c>
      <c r="AU74" s="5">
        <v>73</v>
      </c>
      <c r="AV74" s="5">
        <v>2</v>
      </c>
      <c r="AW74" s="5" t="s">
        <v>21</v>
      </c>
      <c r="AX74" s="5" t="s">
        <v>21</v>
      </c>
      <c r="AY74" s="5" t="s">
        <v>21</v>
      </c>
      <c r="AZ74" s="5" t="s">
        <v>21</v>
      </c>
      <c r="BA74" s="5">
        <v>50</v>
      </c>
      <c r="BB74" s="5">
        <v>62</v>
      </c>
      <c r="BC74" s="5" t="s">
        <v>21</v>
      </c>
      <c r="BD74" s="5" t="s">
        <v>1524</v>
      </c>
      <c r="BE74" s="5" t="str">
        <f>HYPERLINK("http://dx.doi.org/10.1111/pcn.12799","http://dx.doi.org/10.1111/pcn.12799")</f>
        <v>http://dx.doi.org/10.1111/pcn.12799</v>
      </c>
      <c r="BF74" s="5" t="s">
        <v>21</v>
      </c>
      <c r="BG74" s="5" t="s">
        <v>21</v>
      </c>
      <c r="BH74" s="5">
        <v>13</v>
      </c>
      <c r="BI74" s="5" t="s">
        <v>1525</v>
      </c>
      <c r="BJ74" s="5" t="s">
        <v>92</v>
      </c>
      <c r="BK74" s="5" t="s">
        <v>1526</v>
      </c>
      <c r="BL74" s="5" t="s">
        <v>1527</v>
      </c>
      <c r="BM74" s="5">
        <v>30565801</v>
      </c>
      <c r="BN74" s="5" t="s">
        <v>1528</v>
      </c>
      <c r="BO74" s="5" t="s">
        <v>21</v>
      </c>
      <c r="BP74" s="5" t="s">
        <v>21</v>
      </c>
      <c r="BQ74" s="5" t="s">
        <v>49</v>
      </c>
      <c r="BR74" s="5" t="s">
        <v>1529</v>
      </c>
      <c r="BS74" s="5" t="str">
        <f>HYPERLINK("https%3A%2F%2Fwww.webofscience.com%2Fwos%2Fwoscc%2Ffull-record%2FWOS:000458541200002","View Full Record in Web of Science")</f>
        <v>View Full Record in Web of Science</v>
      </c>
    </row>
    <row r="75" spans="1:71" x14ac:dyDescent="0.25">
      <c r="A75" t="s">
        <v>19</v>
      </c>
      <c r="B75" s="5" t="s">
        <v>1530</v>
      </c>
      <c r="C75" s="5" t="s">
        <v>21</v>
      </c>
      <c r="D75" s="5" t="s">
        <v>21</v>
      </c>
      <c r="E75" s="5" t="s">
        <v>21</v>
      </c>
      <c r="F75" s="5" t="s">
        <v>1531</v>
      </c>
      <c r="G75" s="5" t="s">
        <v>21</v>
      </c>
      <c r="H75" s="5" t="s">
        <v>21</v>
      </c>
      <c r="I75" s="5" t="s">
        <v>1532</v>
      </c>
      <c r="J75" s="12" t="s">
        <v>832</v>
      </c>
      <c r="K75" s="5" t="s">
        <v>21</v>
      </c>
      <c r="L75" s="5" t="s">
        <v>21</v>
      </c>
      <c r="M75" s="5" t="s">
        <v>25</v>
      </c>
      <c r="N75" s="5" t="s">
        <v>26</v>
      </c>
      <c r="O75" s="5" t="s">
        <v>21</v>
      </c>
      <c r="P75" s="5" t="s">
        <v>21</v>
      </c>
      <c r="Q75" s="5" t="s">
        <v>21</v>
      </c>
      <c r="R75" s="5" t="s">
        <v>21</v>
      </c>
      <c r="S75" s="5" t="s">
        <v>21</v>
      </c>
      <c r="T75" s="5" t="s">
        <v>21</v>
      </c>
      <c r="U75" s="5" t="s">
        <v>1533</v>
      </c>
      <c r="V75" s="5" t="s">
        <v>1534</v>
      </c>
      <c r="W75" s="5" t="s">
        <v>1535</v>
      </c>
      <c r="X75" s="5" t="s">
        <v>1536</v>
      </c>
      <c r="Y75" s="5" t="s">
        <v>1537</v>
      </c>
      <c r="Z75" s="5" t="s">
        <v>225</v>
      </c>
      <c r="AA75" s="5" t="s">
        <v>1538</v>
      </c>
      <c r="AB75" s="5" t="s">
        <v>21</v>
      </c>
      <c r="AC75" s="5" t="s">
        <v>1539</v>
      </c>
      <c r="AD75" s="5" t="s">
        <v>1540</v>
      </c>
      <c r="AE75" s="5" t="s">
        <v>21</v>
      </c>
      <c r="AF75" s="5">
        <v>35</v>
      </c>
      <c r="AG75" s="5">
        <v>48</v>
      </c>
      <c r="AH75" s="5">
        <v>61</v>
      </c>
      <c r="AI75" s="5">
        <v>1</v>
      </c>
      <c r="AJ75" s="5">
        <v>13</v>
      </c>
      <c r="AK75" s="5" t="s">
        <v>838</v>
      </c>
      <c r="AL75" s="5" t="s">
        <v>585</v>
      </c>
      <c r="AM75" s="5" t="s">
        <v>839</v>
      </c>
      <c r="AN75" s="5" t="s">
        <v>840</v>
      </c>
      <c r="AO75" s="5" t="s">
        <v>841</v>
      </c>
      <c r="AP75" s="5" t="s">
        <v>21</v>
      </c>
      <c r="AQ75" s="5" t="s">
        <v>842</v>
      </c>
      <c r="AR75" s="5" t="s">
        <v>843</v>
      </c>
      <c r="AS75" s="5" t="s">
        <v>844</v>
      </c>
      <c r="AT75" s="5">
        <v>2007</v>
      </c>
      <c r="AU75" s="5">
        <v>27</v>
      </c>
      <c r="AV75" s="5">
        <v>3</v>
      </c>
      <c r="AW75" s="5" t="s">
        <v>21</v>
      </c>
      <c r="AX75" s="5" t="s">
        <v>21</v>
      </c>
      <c r="AY75" s="5" t="s">
        <v>21</v>
      </c>
      <c r="AZ75" s="5" t="s">
        <v>21</v>
      </c>
      <c r="BA75" s="5">
        <v>226</v>
      </c>
      <c r="BB75" s="5">
        <v>241</v>
      </c>
      <c r="BC75" s="5" t="s">
        <v>21</v>
      </c>
      <c r="BD75" s="5" t="s">
        <v>1541</v>
      </c>
      <c r="BE75" s="5" t="str">
        <f>HYPERLINK("http://dx.doi.org/10.1097/01.TLD.0000285357.95426.72","http://dx.doi.org/10.1097/01.TLD.0000285357.95426.72")</f>
        <v>http://dx.doi.org/10.1097/01.TLD.0000285357.95426.72</v>
      </c>
      <c r="BF75" s="5" t="s">
        <v>21</v>
      </c>
      <c r="BG75" s="5" t="s">
        <v>21</v>
      </c>
      <c r="BH75" s="5">
        <v>16</v>
      </c>
      <c r="BI75" s="5" t="s">
        <v>846</v>
      </c>
      <c r="BJ75" s="5" t="s">
        <v>45</v>
      </c>
      <c r="BK75" s="5" t="s">
        <v>846</v>
      </c>
      <c r="BL75" s="5" t="s">
        <v>847</v>
      </c>
      <c r="BM75" s="5">
        <v>20072702</v>
      </c>
      <c r="BN75" s="5" t="s">
        <v>1346</v>
      </c>
      <c r="BO75" s="5" t="s">
        <v>21</v>
      </c>
      <c r="BP75" s="5" t="s">
        <v>21</v>
      </c>
      <c r="BQ75" s="5" t="s">
        <v>49</v>
      </c>
      <c r="BR75" s="5" t="s">
        <v>1542</v>
      </c>
      <c r="BS75" s="5" t="str">
        <f>HYPERLINK("https%3A%2F%2Fwww.webofscience.com%2Fwos%2Fwoscc%2Ffull-record%2FWOS:000249044500004","View Full Record in Web of Science")</f>
        <v>View Full Record in Web of Science</v>
      </c>
    </row>
    <row r="76" spans="1:71" x14ac:dyDescent="0.25">
      <c r="A76" t="s">
        <v>19</v>
      </c>
      <c r="B76" s="5" t="s">
        <v>1543</v>
      </c>
      <c r="C76" s="5" t="s">
        <v>21</v>
      </c>
      <c r="D76" s="5" t="s">
        <v>21</v>
      </c>
      <c r="E76" s="5" t="s">
        <v>21</v>
      </c>
      <c r="F76" s="5" t="s">
        <v>1544</v>
      </c>
      <c r="G76" s="5" t="s">
        <v>21</v>
      </c>
      <c r="H76" s="5" t="s">
        <v>21</v>
      </c>
      <c r="I76" s="5" t="s">
        <v>1545</v>
      </c>
      <c r="J76" s="12" t="s">
        <v>894</v>
      </c>
      <c r="K76" s="5" t="s">
        <v>21</v>
      </c>
      <c r="L76" s="5" t="s">
        <v>21</v>
      </c>
      <c r="M76" s="5" t="s">
        <v>25</v>
      </c>
      <c r="N76" s="5" t="s">
        <v>26</v>
      </c>
      <c r="O76" s="5" t="s">
        <v>21</v>
      </c>
      <c r="P76" s="5" t="s">
        <v>21</v>
      </c>
      <c r="Q76" s="5" t="s">
        <v>21</v>
      </c>
      <c r="R76" s="5" t="s">
        <v>21</v>
      </c>
      <c r="S76" s="5" t="s">
        <v>21</v>
      </c>
      <c r="T76" s="5" t="s">
        <v>1546</v>
      </c>
      <c r="U76" s="5" t="s">
        <v>1547</v>
      </c>
      <c r="V76" s="5" t="s">
        <v>1548</v>
      </c>
      <c r="W76" s="5" t="s">
        <v>1549</v>
      </c>
      <c r="X76" s="5" t="s">
        <v>1550</v>
      </c>
      <c r="Y76" s="5" t="s">
        <v>1551</v>
      </c>
      <c r="Z76" s="5" t="s">
        <v>1552</v>
      </c>
      <c r="AA76" s="5" t="s">
        <v>1553</v>
      </c>
      <c r="AB76" s="5" t="s">
        <v>1554</v>
      </c>
      <c r="AC76" s="5" t="s">
        <v>1555</v>
      </c>
      <c r="AD76" s="5" t="s">
        <v>1556</v>
      </c>
      <c r="AE76" s="5" t="s">
        <v>1557</v>
      </c>
      <c r="AF76" s="5">
        <v>44</v>
      </c>
      <c r="AG76" s="5">
        <v>47</v>
      </c>
      <c r="AH76" s="5">
        <v>49</v>
      </c>
      <c r="AI76" s="5">
        <v>28</v>
      </c>
      <c r="AJ76" s="5">
        <v>54</v>
      </c>
      <c r="AK76" s="5" t="s">
        <v>904</v>
      </c>
      <c r="AL76" s="5" t="s">
        <v>36</v>
      </c>
      <c r="AM76" s="5" t="s">
        <v>905</v>
      </c>
      <c r="AN76" s="5" t="s">
        <v>906</v>
      </c>
      <c r="AO76" s="5" t="s">
        <v>907</v>
      </c>
      <c r="AP76" s="5" t="s">
        <v>21</v>
      </c>
      <c r="AQ76" s="5" t="s">
        <v>908</v>
      </c>
      <c r="AR76" s="5" t="s">
        <v>909</v>
      </c>
      <c r="AS76" s="5" t="s">
        <v>42</v>
      </c>
      <c r="AT76" s="5">
        <v>2022</v>
      </c>
      <c r="AU76" s="5">
        <v>27</v>
      </c>
      <c r="AV76" s="5">
        <v>1</v>
      </c>
      <c r="AW76" s="5" t="s">
        <v>21</v>
      </c>
      <c r="AX76" s="5" t="s">
        <v>21</v>
      </c>
      <c r="AY76" s="5" t="s">
        <v>501</v>
      </c>
      <c r="AZ76" s="5" t="s">
        <v>21</v>
      </c>
      <c r="BA76" s="5">
        <v>819</v>
      </c>
      <c r="BB76" s="5">
        <v>843</v>
      </c>
      <c r="BC76" s="5" t="s">
        <v>21</v>
      </c>
      <c r="BD76" s="5" t="s">
        <v>1558</v>
      </c>
      <c r="BE76" s="5" t="str">
        <f>HYPERLINK("http://dx.doi.org/10.1007/s10639-020-10392-0","http://dx.doi.org/10.1007/s10639-020-10392-0")</f>
        <v>http://dx.doi.org/10.1007/s10639-020-10392-0</v>
      </c>
      <c r="BF76" s="5" t="s">
        <v>21</v>
      </c>
      <c r="BG76" s="5" t="s">
        <v>1559</v>
      </c>
      <c r="BH76" s="5">
        <v>25</v>
      </c>
      <c r="BI76" s="5" t="s">
        <v>503</v>
      </c>
      <c r="BJ76" s="5" t="s">
        <v>45</v>
      </c>
      <c r="BK76" s="5" t="s">
        <v>503</v>
      </c>
      <c r="BL76" s="5" t="s">
        <v>1560</v>
      </c>
      <c r="BM76" s="5" t="s">
        <v>21</v>
      </c>
      <c r="BN76" s="5" t="s">
        <v>21</v>
      </c>
      <c r="BO76" s="5" t="s">
        <v>21</v>
      </c>
      <c r="BP76" s="5" t="s">
        <v>21</v>
      </c>
      <c r="BQ76" s="5" t="s">
        <v>49</v>
      </c>
      <c r="BR76" s="5" t="s">
        <v>1561</v>
      </c>
      <c r="BS76" s="5" t="str">
        <f>HYPERLINK("https%3A%2F%2Fwww.webofscience.com%2Fwos%2Fwoscc%2Ffull-record%2FWOS:000604151700001","View Full Record in Web of Science")</f>
        <v>View Full Record in Web of Science</v>
      </c>
    </row>
    <row r="77" spans="1:71" x14ac:dyDescent="0.25">
      <c r="A77" t="s">
        <v>19</v>
      </c>
      <c r="B77" s="5" t="s">
        <v>1562</v>
      </c>
      <c r="C77" s="5" t="s">
        <v>21</v>
      </c>
      <c r="D77" s="5" t="s">
        <v>21</v>
      </c>
      <c r="E77" s="5" t="s">
        <v>21</v>
      </c>
      <c r="F77" s="5" t="s">
        <v>1563</v>
      </c>
      <c r="G77" s="5" t="s">
        <v>21</v>
      </c>
      <c r="H77" s="5" t="s">
        <v>21</v>
      </c>
      <c r="I77" s="5" t="s">
        <v>1564</v>
      </c>
      <c r="J77" s="12" t="s">
        <v>1565</v>
      </c>
      <c r="K77" s="5" t="s">
        <v>21</v>
      </c>
      <c r="L77" s="5" t="s">
        <v>21</v>
      </c>
      <c r="M77" s="5" t="s">
        <v>25</v>
      </c>
      <c r="N77" s="5" t="s">
        <v>76</v>
      </c>
      <c r="O77" s="5" t="s">
        <v>21</v>
      </c>
      <c r="P77" s="5" t="s">
        <v>21</v>
      </c>
      <c r="Q77" s="5" t="s">
        <v>21</v>
      </c>
      <c r="R77" s="5" t="s">
        <v>21</v>
      </c>
      <c r="S77" s="5" t="s">
        <v>21</v>
      </c>
      <c r="T77" s="5" t="s">
        <v>21</v>
      </c>
      <c r="U77" s="5" t="s">
        <v>1566</v>
      </c>
      <c r="V77" s="5" t="s">
        <v>1567</v>
      </c>
      <c r="W77" s="5" t="s">
        <v>1568</v>
      </c>
      <c r="X77" s="5" t="s">
        <v>1569</v>
      </c>
      <c r="Y77" s="5" t="s">
        <v>1570</v>
      </c>
      <c r="Z77" s="5" t="s">
        <v>1571</v>
      </c>
      <c r="AA77" s="5" t="s">
        <v>1451</v>
      </c>
      <c r="AB77" s="5" t="s">
        <v>1572</v>
      </c>
      <c r="AC77" s="5" t="s">
        <v>21</v>
      </c>
      <c r="AD77" s="5" t="s">
        <v>21</v>
      </c>
      <c r="AE77" s="5" t="s">
        <v>21</v>
      </c>
      <c r="AF77" s="5">
        <v>128</v>
      </c>
      <c r="AG77" s="5">
        <v>46</v>
      </c>
      <c r="AH77" s="5">
        <v>47</v>
      </c>
      <c r="AI77" s="5">
        <v>2</v>
      </c>
      <c r="AJ77" s="5">
        <v>52</v>
      </c>
      <c r="AK77" s="5" t="s">
        <v>584</v>
      </c>
      <c r="AL77" s="5" t="s">
        <v>585</v>
      </c>
      <c r="AM77" s="5" t="s">
        <v>586</v>
      </c>
      <c r="AN77" s="5" t="s">
        <v>1573</v>
      </c>
      <c r="AO77" s="5" t="s">
        <v>1574</v>
      </c>
      <c r="AP77" s="5" t="s">
        <v>21</v>
      </c>
      <c r="AQ77" s="5" t="s">
        <v>1575</v>
      </c>
      <c r="AR77" s="5" t="s">
        <v>1576</v>
      </c>
      <c r="AS77" s="5" t="s">
        <v>1577</v>
      </c>
      <c r="AT77" s="5">
        <v>2022</v>
      </c>
      <c r="AU77" s="5">
        <v>38</v>
      </c>
      <c r="AV77" s="5">
        <v>8</v>
      </c>
      <c r="AW77" s="5" t="s">
        <v>21</v>
      </c>
      <c r="AX77" s="5" t="s">
        <v>21</v>
      </c>
      <c r="AY77" s="5" t="s">
        <v>21</v>
      </c>
      <c r="AZ77" s="5" t="s">
        <v>21</v>
      </c>
      <c r="BA77" s="5">
        <v>753</v>
      </c>
      <c r="BB77" s="5">
        <v>788</v>
      </c>
      <c r="BC77" s="5" t="s">
        <v>21</v>
      </c>
      <c r="BD77" s="5" t="s">
        <v>1578</v>
      </c>
      <c r="BE77" s="5" t="str">
        <f>HYPERLINK("http://dx.doi.org/10.1080/10447318.2021.1970433","http://dx.doi.org/10.1080/10447318.2021.1970433")</f>
        <v>http://dx.doi.org/10.1080/10447318.2021.1970433</v>
      </c>
      <c r="BF77" s="5" t="s">
        <v>21</v>
      </c>
      <c r="BG77" s="5" t="s">
        <v>1579</v>
      </c>
      <c r="BH77" s="5">
        <v>36</v>
      </c>
      <c r="BI77" s="5" t="s">
        <v>1580</v>
      </c>
      <c r="BJ77" s="5" t="s">
        <v>92</v>
      </c>
      <c r="BK77" s="5" t="s">
        <v>1581</v>
      </c>
      <c r="BL77" s="5" t="s">
        <v>1582</v>
      </c>
      <c r="BM77" s="5" t="s">
        <v>21</v>
      </c>
      <c r="BN77" s="5" t="s">
        <v>21</v>
      </c>
      <c r="BO77" s="5" t="s">
        <v>21</v>
      </c>
      <c r="BP77" s="5" t="s">
        <v>21</v>
      </c>
      <c r="BQ77" s="5" t="s">
        <v>49</v>
      </c>
      <c r="BR77" s="5" t="s">
        <v>1583</v>
      </c>
      <c r="BS77" s="5" t="str">
        <f>HYPERLINK("https%3A%2F%2Fwww.webofscience.com%2Fwos%2Fwoscc%2Ffull-record%2FWOS:000695985000001","View Full Record in Web of Science")</f>
        <v>View Full Record in Web of Science</v>
      </c>
    </row>
    <row r="78" spans="1:71" x14ac:dyDescent="0.25">
      <c r="A78" t="s">
        <v>19</v>
      </c>
      <c r="B78" s="5" t="s">
        <v>1584</v>
      </c>
      <c r="C78" s="5" t="s">
        <v>21</v>
      </c>
      <c r="D78" s="5" t="s">
        <v>21</v>
      </c>
      <c r="E78" s="5" t="s">
        <v>21</v>
      </c>
      <c r="F78" s="5" t="s">
        <v>1585</v>
      </c>
      <c r="G78" s="5" t="s">
        <v>21</v>
      </c>
      <c r="H78" s="5" t="s">
        <v>21</v>
      </c>
      <c r="I78" s="5" t="s">
        <v>1586</v>
      </c>
      <c r="J78" s="12" t="s">
        <v>1587</v>
      </c>
      <c r="K78" s="5" t="s">
        <v>21</v>
      </c>
      <c r="L78" s="5" t="s">
        <v>21</v>
      </c>
      <c r="M78" s="5" t="s">
        <v>25</v>
      </c>
      <c r="N78" s="5" t="s">
        <v>26</v>
      </c>
      <c r="O78" s="5" t="s">
        <v>21</v>
      </c>
      <c r="P78" s="5" t="s">
        <v>21</v>
      </c>
      <c r="Q78" s="5" t="s">
        <v>21</v>
      </c>
      <c r="R78" s="5" t="s">
        <v>21</v>
      </c>
      <c r="S78" s="5" t="s">
        <v>21</v>
      </c>
      <c r="T78" s="5" t="s">
        <v>1588</v>
      </c>
      <c r="U78" s="5" t="s">
        <v>1589</v>
      </c>
      <c r="V78" s="5" t="s">
        <v>1590</v>
      </c>
      <c r="W78" s="5" t="s">
        <v>1591</v>
      </c>
      <c r="X78" s="5" t="s">
        <v>1284</v>
      </c>
      <c r="Y78" s="5" t="s">
        <v>1592</v>
      </c>
      <c r="Z78" s="5" t="s">
        <v>1593</v>
      </c>
      <c r="AA78" s="5" t="s">
        <v>1594</v>
      </c>
      <c r="AB78" s="5" t="s">
        <v>1595</v>
      </c>
      <c r="AC78" s="5" t="s">
        <v>1596</v>
      </c>
      <c r="AD78" s="5" t="s">
        <v>1597</v>
      </c>
      <c r="AE78" s="5" t="s">
        <v>1598</v>
      </c>
      <c r="AF78" s="5">
        <v>119</v>
      </c>
      <c r="AG78" s="5">
        <v>46</v>
      </c>
      <c r="AH78" s="5">
        <v>46</v>
      </c>
      <c r="AI78" s="5">
        <v>5</v>
      </c>
      <c r="AJ78" s="5">
        <v>75</v>
      </c>
      <c r="AK78" s="5" t="s">
        <v>193</v>
      </c>
      <c r="AL78" s="5" t="s">
        <v>194</v>
      </c>
      <c r="AM78" s="5" t="s">
        <v>195</v>
      </c>
      <c r="AN78" s="5" t="s">
        <v>21</v>
      </c>
      <c r="AO78" s="5" t="s">
        <v>1599</v>
      </c>
      <c r="AP78" s="5" t="s">
        <v>21</v>
      </c>
      <c r="AQ78" s="5" t="s">
        <v>1600</v>
      </c>
      <c r="AR78" s="5" t="s">
        <v>1601</v>
      </c>
      <c r="AS78" s="5" t="s">
        <v>69</v>
      </c>
      <c r="AT78" s="5">
        <v>2020</v>
      </c>
      <c r="AU78" s="5">
        <v>9</v>
      </c>
      <c r="AV78" s="5">
        <v>5</v>
      </c>
      <c r="AW78" s="5" t="s">
        <v>21</v>
      </c>
      <c r="AX78" s="5" t="s">
        <v>21</v>
      </c>
      <c r="AY78" s="5" t="s">
        <v>21</v>
      </c>
      <c r="AZ78" s="5" t="s">
        <v>21</v>
      </c>
      <c r="BA78" s="5" t="s">
        <v>21</v>
      </c>
      <c r="BB78" s="5" t="s">
        <v>21</v>
      </c>
      <c r="BC78" s="5">
        <v>1260</v>
      </c>
      <c r="BD78" s="5" t="s">
        <v>1602</v>
      </c>
      <c r="BE78" s="5" t="str">
        <f>HYPERLINK("http://dx.doi.org/10.3390/jcm9051260","http://dx.doi.org/10.3390/jcm9051260")</f>
        <v>http://dx.doi.org/10.3390/jcm9051260</v>
      </c>
      <c r="BF78" s="5" t="s">
        <v>21</v>
      </c>
      <c r="BG78" s="5" t="s">
        <v>21</v>
      </c>
      <c r="BH78" s="5">
        <v>20</v>
      </c>
      <c r="BI78" s="5" t="s">
        <v>1603</v>
      </c>
      <c r="BJ78" s="5" t="s">
        <v>92</v>
      </c>
      <c r="BK78" s="5" t="s">
        <v>1604</v>
      </c>
      <c r="BL78" s="5" t="s">
        <v>1605</v>
      </c>
      <c r="BM78" s="5">
        <v>32357517</v>
      </c>
      <c r="BN78" s="5" t="s">
        <v>163</v>
      </c>
      <c r="BO78" s="5" t="s">
        <v>21</v>
      </c>
      <c r="BP78" s="5" t="s">
        <v>21</v>
      </c>
      <c r="BQ78" s="5" t="s">
        <v>49</v>
      </c>
      <c r="BR78" s="5" t="s">
        <v>1606</v>
      </c>
      <c r="BS78" s="5" t="str">
        <f>HYPERLINK("https%3A%2F%2Fwww.webofscience.com%2Fwos%2Fwoscc%2Ffull-record%2FWOS:000540223800017","View Full Record in Web of Science")</f>
        <v>View Full Record in Web of Science</v>
      </c>
    </row>
    <row r="79" spans="1:71" x14ac:dyDescent="0.25">
      <c r="A79" t="s">
        <v>19</v>
      </c>
      <c r="B79" s="5" t="s">
        <v>1607</v>
      </c>
      <c r="C79" s="5" t="s">
        <v>21</v>
      </c>
      <c r="D79" s="5" t="s">
        <v>21</v>
      </c>
      <c r="E79" s="5" t="s">
        <v>21</v>
      </c>
      <c r="F79" s="5" t="s">
        <v>1608</v>
      </c>
      <c r="G79" s="5" t="s">
        <v>21</v>
      </c>
      <c r="H79" s="5" t="s">
        <v>21</v>
      </c>
      <c r="I79" s="5" t="s">
        <v>1609</v>
      </c>
      <c r="J79" s="12" t="s">
        <v>1610</v>
      </c>
      <c r="K79" s="5" t="s">
        <v>21</v>
      </c>
      <c r="L79" s="5" t="s">
        <v>21</v>
      </c>
      <c r="M79" s="5" t="s">
        <v>25</v>
      </c>
      <c r="N79" s="5" t="s">
        <v>26</v>
      </c>
      <c r="O79" s="5" t="s">
        <v>21</v>
      </c>
      <c r="P79" s="5" t="s">
        <v>21</v>
      </c>
      <c r="Q79" s="5" t="s">
        <v>21</v>
      </c>
      <c r="R79" s="5" t="s">
        <v>21</v>
      </c>
      <c r="S79" s="5" t="s">
        <v>21</v>
      </c>
      <c r="T79" s="5" t="s">
        <v>1611</v>
      </c>
      <c r="U79" s="5" t="s">
        <v>1612</v>
      </c>
      <c r="V79" s="5" t="s">
        <v>1613</v>
      </c>
      <c r="W79" s="5" t="s">
        <v>1614</v>
      </c>
      <c r="X79" s="5" t="s">
        <v>1615</v>
      </c>
      <c r="Y79" s="5" t="s">
        <v>1616</v>
      </c>
      <c r="Z79" s="5" t="s">
        <v>1617</v>
      </c>
      <c r="AA79" s="5" t="s">
        <v>1618</v>
      </c>
      <c r="AB79" s="5" t="s">
        <v>1619</v>
      </c>
      <c r="AC79" s="5" t="s">
        <v>1620</v>
      </c>
      <c r="AD79" s="5" t="s">
        <v>1621</v>
      </c>
      <c r="AE79" s="5" t="s">
        <v>1622</v>
      </c>
      <c r="AF79" s="5">
        <v>46</v>
      </c>
      <c r="AG79" s="5">
        <v>45</v>
      </c>
      <c r="AH79" s="5">
        <v>47</v>
      </c>
      <c r="AI79" s="5">
        <v>17</v>
      </c>
      <c r="AJ79" s="5">
        <v>74</v>
      </c>
      <c r="AK79" s="5" t="s">
        <v>1623</v>
      </c>
      <c r="AL79" s="5" t="s">
        <v>1624</v>
      </c>
      <c r="AM79" s="5" t="s">
        <v>1625</v>
      </c>
      <c r="AN79" s="5" t="s">
        <v>1626</v>
      </c>
      <c r="AO79" s="5" t="s">
        <v>1627</v>
      </c>
      <c r="AP79" s="5" t="s">
        <v>21</v>
      </c>
      <c r="AQ79" s="5" t="s">
        <v>1628</v>
      </c>
      <c r="AR79" s="5" t="s">
        <v>1629</v>
      </c>
      <c r="AS79" s="5" t="s">
        <v>89</v>
      </c>
      <c r="AT79" s="5">
        <v>2021</v>
      </c>
      <c r="AU79" s="5">
        <v>20</v>
      </c>
      <c r="AV79" s="5">
        <v>2</v>
      </c>
      <c r="AW79" s="5" t="s">
        <v>21</v>
      </c>
      <c r="AX79" s="5" t="s">
        <v>21</v>
      </c>
      <c r="AY79" s="5" t="s">
        <v>501</v>
      </c>
      <c r="AZ79" s="5" t="s">
        <v>21</v>
      </c>
      <c r="BA79" s="5">
        <v>375</v>
      </c>
      <c r="BB79" s="5">
        <v>389</v>
      </c>
      <c r="BC79" s="5" t="s">
        <v>21</v>
      </c>
      <c r="BD79" s="5" t="s">
        <v>1630</v>
      </c>
      <c r="BE79" s="5" t="str">
        <f>HYPERLINK("http://dx.doi.org/10.1007/s10209-020-00724-9","http://dx.doi.org/10.1007/s10209-020-00724-9")</f>
        <v>http://dx.doi.org/10.1007/s10209-020-00724-9</v>
      </c>
      <c r="BF79" s="5" t="s">
        <v>21</v>
      </c>
      <c r="BG79" s="5" t="s">
        <v>1631</v>
      </c>
      <c r="BH79" s="5">
        <v>15</v>
      </c>
      <c r="BI79" s="5" t="s">
        <v>1580</v>
      </c>
      <c r="BJ79" s="5" t="s">
        <v>92</v>
      </c>
      <c r="BK79" s="5" t="s">
        <v>1581</v>
      </c>
      <c r="BL79" s="5" t="s">
        <v>1632</v>
      </c>
      <c r="BM79" s="5" t="s">
        <v>21</v>
      </c>
      <c r="BN79" s="5" t="s">
        <v>21</v>
      </c>
      <c r="BO79" s="5" t="s">
        <v>21</v>
      </c>
      <c r="BP79" s="5" t="s">
        <v>21</v>
      </c>
      <c r="BQ79" s="5" t="s">
        <v>49</v>
      </c>
      <c r="BR79" s="5" t="s">
        <v>1633</v>
      </c>
      <c r="BS79" s="5" t="str">
        <f>HYPERLINK("https%3A%2F%2Fwww.webofscience.com%2Fwos%2Fwoscc%2Ffull-record%2FWOS:000537348700001","View Full Record in Web of Science")</f>
        <v>View Full Record in Web of Science</v>
      </c>
    </row>
    <row r="80" spans="1:71" x14ac:dyDescent="0.25">
      <c r="A80" t="s">
        <v>19</v>
      </c>
      <c r="B80" s="5" t="s">
        <v>1634</v>
      </c>
      <c r="C80" s="5" t="s">
        <v>21</v>
      </c>
      <c r="D80" s="5" t="s">
        <v>21</v>
      </c>
      <c r="E80" s="5" t="s">
        <v>21</v>
      </c>
      <c r="F80" s="5" t="s">
        <v>1635</v>
      </c>
      <c r="G80" s="5" t="s">
        <v>21</v>
      </c>
      <c r="H80" s="5" t="s">
        <v>21</v>
      </c>
      <c r="I80" s="5" t="s">
        <v>1636</v>
      </c>
      <c r="J80" s="12" t="s">
        <v>24</v>
      </c>
      <c r="K80" s="5" t="s">
        <v>21</v>
      </c>
      <c r="L80" s="5" t="s">
        <v>21</v>
      </c>
      <c r="M80" s="5" t="s">
        <v>25</v>
      </c>
      <c r="N80" s="5" t="s">
        <v>26</v>
      </c>
      <c r="O80" s="5" t="s">
        <v>21</v>
      </c>
      <c r="P80" s="5" t="s">
        <v>21</v>
      </c>
      <c r="Q80" s="5" t="s">
        <v>21</v>
      </c>
      <c r="R80" s="5" t="s">
        <v>21</v>
      </c>
      <c r="S80" s="5" t="s">
        <v>21</v>
      </c>
      <c r="T80" s="5" t="s">
        <v>1637</v>
      </c>
      <c r="U80" s="5" t="s">
        <v>1638</v>
      </c>
      <c r="V80" s="5" t="s">
        <v>1639</v>
      </c>
      <c r="W80" s="5" t="s">
        <v>1640</v>
      </c>
      <c r="X80" s="5" t="s">
        <v>1641</v>
      </c>
      <c r="Y80" s="5" t="s">
        <v>1642</v>
      </c>
      <c r="Z80" s="5" t="s">
        <v>1643</v>
      </c>
      <c r="AA80" s="5" t="s">
        <v>1644</v>
      </c>
      <c r="AB80" s="5" t="s">
        <v>21</v>
      </c>
      <c r="AC80" s="5" t="s">
        <v>1645</v>
      </c>
      <c r="AD80" s="5" t="s">
        <v>1646</v>
      </c>
      <c r="AE80" s="5" t="s">
        <v>1647</v>
      </c>
      <c r="AF80" s="5">
        <v>74</v>
      </c>
      <c r="AG80" s="5">
        <v>45</v>
      </c>
      <c r="AH80" s="5">
        <v>50</v>
      </c>
      <c r="AI80" s="5">
        <v>5</v>
      </c>
      <c r="AJ80" s="5">
        <v>79</v>
      </c>
      <c r="AK80" s="5" t="s">
        <v>35</v>
      </c>
      <c r="AL80" s="5" t="s">
        <v>36</v>
      </c>
      <c r="AM80" s="5" t="s">
        <v>37</v>
      </c>
      <c r="AN80" s="5" t="s">
        <v>38</v>
      </c>
      <c r="AO80" s="5" t="s">
        <v>39</v>
      </c>
      <c r="AP80" s="5" t="s">
        <v>21</v>
      </c>
      <c r="AQ80" s="5" t="s">
        <v>40</v>
      </c>
      <c r="AR80" s="5" t="s">
        <v>41</v>
      </c>
      <c r="AS80" s="5" t="s">
        <v>543</v>
      </c>
      <c r="AT80" s="5">
        <v>2018</v>
      </c>
      <c r="AU80" s="5">
        <v>48</v>
      </c>
      <c r="AV80" s="5">
        <v>11</v>
      </c>
      <c r="AW80" s="5" t="s">
        <v>21</v>
      </c>
      <c r="AX80" s="5" t="s">
        <v>21</v>
      </c>
      <c r="AY80" s="5" t="s">
        <v>501</v>
      </c>
      <c r="AZ80" s="5" t="s">
        <v>21</v>
      </c>
      <c r="BA80" s="5">
        <v>3816</v>
      </c>
      <c r="BB80" s="5">
        <v>3830</v>
      </c>
      <c r="BC80" s="5" t="s">
        <v>21</v>
      </c>
      <c r="BD80" s="5" t="s">
        <v>1648</v>
      </c>
      <c r="BE80" s="5" t="str">
        <f>HYPERLINK("http://dx.doi.org/10.1007/s10803-018-3654-2","http://dx.doi.org/10.1007/s10803-018-3654-2")</f>
        <v>http://dx.doi.org/10.1007/s10803-018-3654-2</v>
      </c>
      <c r="BF80" s="5" t="s">
        <v>21</v>
      </c>
      <c r="BG80" s="5" t="s">
        <v>21</v>
      </c>
      <c r="BH80" s="5">
        <v>15</v>
      </c>
      <c r="BI80" s="5" t="s">
        <v>44</v>
      </c>
      <c r="BJ80" s="5" t="s">
        <v>45</v>
      </c>
      <c r="BK80" s="5" t="s">
        <v>46</v>
      </c>
      <c r="BL80" s="5" t="s">
        <v>1649</v>
      </c>
      <c r="BM80" s="5">
        <v>29926295</v>
      </c>
      <c r="BN80" s="5" t="s">
        <v>21</v>
      </c>
      <c r="BO80" s="5" t="s">
        <v>21</v>
      </c>
      <c r="BP80" s="5" t="s">
        <v>21</v>
      </c>
      <c r="BQ80" s="5" t="s">
        <v>49</v>
      </c>
      <c r="BR80" s="5" t="s">
        <v>1650</v>
      </c>
      <c r="BS80" s="5" t="str">
        <f>HYPERLINK("https%3A%2F%2Fwww.webofscience.com%2Fwos%2Fwoscc%2Ffull-record%2FWOS:000447253300018","View Full Record in Web of Science")</f>
        <v>View Full Record in Web of Science</v>
      </c>
    </row>
    <row r="81" spans="1:71" x14ac:dyDescent="0.25">
      <c r="A81" t="s">
        <v>19</v>
      </c>
      <c r="B81" s="5" t="s">
        <v>1651</v>
      </c>
      <c r="C81" s="5" t="s">
        <v>21</v>
      </c>
      <c r="D81" s="5" t="s">
        <v>21</v>
      </c>
      <c r="E81" s="5" t="s">
        <v>21</v>
      </c>
      <c r="F81" s="5" t="s">
        <v>1652</v>
      </c>
      <c r="G81" s="5" t="s">
        <v>21</v>
      </c>
      <c r="H81" s="5" t="s">
        <v>21</v>
      </c>
      <c r="I81" s="5" t="s">
        <v>1653</v>
      </c>
      <c r="J81" s="12" t="s">
        <v>646</v>
      </c>
      <c r="K81" s="5" t="s">
        <v>21</v>
      </c>
      <c r="L81" s="5" t="s">
        <v>21</v>
      </c>
      <c r="M81" s="5" t="s">
        <v>25</v>
      </c>
      <c r="N81" s="5" t="s">
        <v>26</v>
      </c>
      <c r="O81" s="5" t="s">
        <v>21</v>
      </c>
      <c r="P81" s="5" t="s">
        <v>21</v>
      </c>
      <c r="Q81" s="5" t="s">
        <v>21</v>
      </c>
      <c r="R81" s="5" t="s">
        <v>21</v>
      </c>
      <c r="S81" s="5" t="s">
        <v>21</v>
      </c>
      <c r="T81" s="5" t="s">
        <v>1654</v>
      </c>
      <c r="U81" s="5" t="s">
        <v>1655</v>
      </c>
      <c r="V81" s="5" t="s">
        <v>1656</v>
      </c>
      <c r="W81" s="5" t="s">
        <v>1657</v>
      </c>
      <c r="X81" s="5" t="s">
        <v>1658</v>
      </c>
      <c r="Y81" s="5" t="s">
        <v>1659</v>
      </c>
      <c r="Z81" s="5" t="s">
        <v>1660</v>
      </c>
      <c r="AA81" s="5" t="s">
        <v>1661</v>
      </c>
      <c r="AB81" s="5" t="s">
        <v>1662</v>
      </c>
      <c r="AC81" s="5" t="s">
        <v>1663</v>
      </c>
      <c r="AD81" s="5" t="s">
        <v>1663</v>
      </c>
      <c r="AE81" s="5" t="s">
        <v>1664</v>
      </c>
      <c r="AF81" s="5">
        <v>26</v>
      </c>
      <c r="AG81" s="5">
        <v>45</v>
      </c>
      <c r="AH81" s="5">
        <v>48</v>
      </c>
      <c r="AI81" s="5">
        <v>5</v>
      </c>
      <c r="AJ81" s="5">
        <v>57</v>
      </c>
      <c r="AK81" s="5" t="s">
        <v>659</v>
      </c>
      <c r="AL81" s="5" t="s">
        <v>660</v>
      </c>
      <c r="AM81" s="5" t="s">
        <v>661</v>
      </c>
      <c r="AN81" s="5" t="s">
        <v>662</v>
      </c>
      <c r="AO81" s="5" t="s">
        <v>663</v>
      </c>
      <c r="AP81" s="5" t="s">
        <v>21</v>
      </c>
      <c r="AQ81" s="5" t="s">
        <v>664</v>
      </c>
      <c r="AR81" s="5" t="s">
        <v>665</v>
      </c>
      <c r="AS81" s="5" t="s">
        <v>290</v>
      </c>
      <c r="AT81" s="5">
        <v>2015</v>
      </c>
      <c r="AU81" s="5">
        <v>23</v>
      </c>
      <c r="AV81" s="5">
        <v>4</v>
      </c>
      <c r="AW81" s="5" t="s">
        <v>21</v>
      </c>
      <c r="AX81" s="5" t="s">
        <v>21</v>
      </c>
      <c r="AY81" s="5" t="s">
        <v>21</v>
      </c>
      <c r="AZ81" s="5" t="s">
        <v>21</v>
      </c>
      <c r="BA81" s="5">
        <v>665</v>
      </c>
      <c r="BB81" s="5">
        <v>675</v>
      </c>
      <c r="BC81" s="5" t="s">
        <v>21</v>
      </c>
      <c r="BD81" s="5" t="s">
        <v>1665</v>
      </c>
      <c r="BE81" s="5" t="str">
        <f>HYPERLINK("http://dx.doi.org/10.1109/TNSRE.2015.2393891","http://dx.doi.org/10.1109/TNSRE.2015.2393891")</f>
        <v>http://dx.doi.org/10.1109/TNSRE.2015.2393891</v>
      </c>
      <c r="BF81" s="5" t="s">
        <v>21</v>
      </c>
      <c r="BG81" s="5" t="s">
        <v>21</v>
      </c>
      <c r="BH81" s="5">
        <v>11</v>
      </c>
      <c r="BI81" s="5" t="s">
        <v>667</v>
      </c>
      <c r="BJ81" s="5" t="s">
        <v>92</v>
      </c>
      <c r="BK81" s="5" t="s">
        <v>668</v>
      </c>
      <c r="BL81" s="5" t="s">
        <v>1666</v>
      </c>
      <c r="BM81" s="5">
        <v>25643409</v>
      </c>
      <c r="BN81" s="5" t="s">
        <v>21</v>
      </c>
      <c r="BO81" s="5" t="s">
        <v>21</v>
      </c>
      <c r="BP81" s="5" t="s">
        <v>21</v>
      </c>
      <c r="BQ81" s="5" t="s">
        <v>49</v>
      </c>
      <c r="BR81" s="5" t="s">
        <v>1667</v>
      </c>
      <c r="BS81" s="5" t="str">
        <f>HYPERLINK("https%3A%2F%2Fwww.webofscience.com%2Fwos%2Fwoscc%2Ffull-record%2FWOS:000357596500015","View Full Record in Web of Science")</f>
        <v>View Full Record in Web of Science</v>
      </c>
    </row>
    <row r="82" spans="1:71" x14ac:dyDescent="0.25">
      <c r="A82" t="s">
        <v>19</v>
      </c>
      <c r="B82" s="5" t="s">
        <v>1668</v>
      </c>
      <c r="C82" s="5" t="s">
        <v>21</v>
      </c>
      <c r="D82" s="5" t="s">
        <v>21</v>
      </c>
      <c r="E82" s="5" t="s">
        <v>21</v>
      </c>
      <c r="F82" s="5" t="s">
        <v>1669</v>
      </c>
      <c r="G82" s="5" t="s">
        <v>21</v>
      </c>
      <c r="H82" s="5" t="s">
        <v>21</v>
      </c>
      <c r="I82" s="5" t="s">
        <v>1670</v>
      </c>
      <c r="J82" s="12" t="s">
        <v>24</v>
      </c>
      <c r="K82" s="5" t="s">
        <v>21</v>
      </c>
      <c r="L82" s="5" t="s">
        <v>21</v>
      </c>
      <c r="M82" s="5" t="s">
        <v>25</v>
      </c>
      <c r="N82" s="5" t="s">
        <v>26</v>
      </c>
      <c r="O82" s="5" t="s">
        <v>21</v>
      </c>
      <c r="P82" s="5" t="s">
        <v>21</v>
      </c>
      <c r="Q82" s="5" t="s">
        <v>21</v>
      </c>
      <c r="R82" s="5" t="s">
        <v>21</v>
      </c>
      <c r="S82" s="5" t="s">
        <v>21</v>
      </c>
      <c r="T82" s="5" t="s">
        <v>1671</v>
      </c>
      <c r="U82" s="5" t="s">
        <v>1672</v>
      </c>
      <c r="V82" s="5" t="s">
        <v>1673</v>
      </c>
      <c r="W82" s="5" t="s">
        <v>1674</v>
      </c>
      <c r="X82" s="5" t="s">
        <v>1675</v>
      </c>
      <c r="Y82" s="5" t="s">
        <v>1676</v>
      </c>
      <c r="Z82" s="5" t="s">
        <v>1677</v>
      </c>
      <c r="AA82" s="5" t="s">
        <v>1678</v>
      </c>
      <c r="AB82" s="5" t="s">
        <v>1679</v>
      </c>
      <c r="AC82" s="5" t="s">
        <v>21</v>
      </c>
      <c r="AD82" s="5" t="s">
        <v>21</v>
      </c>
      <c r="AE82" s="5" t="s">
        <v>21</v>
      </c>
      <c r="AF82" s="5">
        <v>48</v>
      </c>
      <c r="AG82" s="5">
        <v>45</v>
      </c>
      <c r="AH82" s="5">
        <v>56</v>
      </c>
      <c r="AI82" s="5">
        <v>0</v>
      </c>
      <c r="AJ82" s="5">
        <v>17</v>
      </c>
      <c r="AK82" s="5" t="s">
        <v>35</v>
      </c>
      <c r="AL82" s="5" t="s">
        <v>36</v>
      </c>
      <c r="AM82" s="5" t="s">
        <v>37</v>
      </c>
      <c r="AN82" s="5" t="s">
        <v>38</v>
      </c>
      <c r="AO82" s="5" t="s">
        <v>39</v>
      </c>
      <c r="AP82" s="5" t="s">
        <v>21</v>
      </c>
      <c r="AQ82" s="5" t="s">
        <v>40</v>
      </c>
      <c r="AR82" s="5" t="s">
        <v>41</v>
      </c>
      <c r="AS82" s="5" t="s">
        <v>89</v>
      </c>
      <c r="AT82" s="5">
        <v>2012</v>
      </c>
      <c r="AU82" s="5">
        <v>42</v>
      </c>
      <c r="AV82" s="5">
        <v>6</v>
      </c>
      <c r="AW82" s="5" t="s">
        <v>21</v>
      </c>
      <c r="AX82" s="5" t="s">
        <v>21</v>
      </c>
      <c r="AY82" s="5" t="s">
        <v>21</v>
      </c>
      <c r="AZ82" s="5" t="s">
        <v>21</v>
      </c>
      <c r="BA82" s="5">
        <v>961</v>
      </c>
      <c r="BB82" s="5">
        <v>970</v>
      </c>
      <c r="BC82" s="5" t="s">
        <v>21</v>
      </c>
      <c r="BD82" s="5" t="s">
        <v>1680</v>
      </c>
      <c r="BE82" s="5" t="str">
        <f>HYPERLINK("http://dx.doi.org/10.1007/s10803-011-1326-6","http://dx.doi.org/10.1007/s10803-011-1326-6")</f>
        <v>http://dx.doi.org/10.1007/s10803-011-1326-6</v>
      </c>
      <c r="BF82" s="5" t="s">
        <v>21</v>
      </c>
      <c r="BG82" s="5" t="s">
        <v>21</v>
      </c>
      <c r="BH82" s="5">
        <v>10</v>
      </c>
      <c r="BI82" s="5" t="s">
        <v>44</v>
      </c>
      <c r="BJ82" s="5" t="s">
        <v>45</v>
      </c>
      <c r="BK82" s="5" t="s">
        <v>46</v>
      </c>
      <c r="BL82" s="5" t="s">
        <v>1681</v>
      </c>
      <c r="BM82" s="5">
        <v>21751061</v>
      </c>
      <c r="BN82" s="5" t="s">
        <v>970</v>
      </c>
      <c r="BO82" s="5" t="s">
        <v>21</v>
      </c>
      <c r="BP82" s="5" t="s">
        <v>21</v>
      </c>
      <c r="BQ82" s="5" t="s">
        <v>49</v>
      </c>
      <c r="BR82" s="5" t="s">
        <v>1682</v>
      </c>
      <c r="BS82" s="5" t="str">
        <f>HYPERLINK("https%3A%2F%2Fwww.webofscience.com%2Fwos%2Fwoscc%2Ffull-record%2FWOS:000304613000008","View Full Record in Web of Science")</f>
        <v>View Full Record in Web of Science</v>
      </c>
    </row>
    <row r="83" spans="1:71" x14ac:dyDescent="0.25">
      <c r="A83" t="s">
        <v>19</v>
      </c>
      <c r="B83" s="5" t="s">
        <v>1683</v>
      </c>
      <c r="C83" s="5" t="s">
        <v>21</v>
      </c>
      <c r="D83" s="5" t="s">
        <v>21</v>
      </c>
      <c r="E83" s="5" t="s">
        <v>21</v>
      </c>
      <c r="F83" s="5" t="s">
        <v>1684</v>
      </c>
      <c r="G83" s="5" t="s">
        <v>21</v>
      </c>
      <c r="H83" s="5" t="s">
        <v>21</v>
      </c>
      <c r="I83" s="5" t="s">
        <v>1685</v>
      </c>
      <c r="J83" s="12" t="s">
        <v>54</v>
      </c>
      <c r="K83" s="5" t="s">
        <v>21</v>
      </c>
      <c r="L83" s="5" t="s">
        <v>21</v>
      </c>
      <c r="M83" s="5" t="s">
        <v>25</v>
      </c>
      <c r="N83" s="5" t="s">
        <v>26</v>
      </c>
      <c r="O83" s="5" t="s">
        <v>21</v>
      </c>
      <c r="P83" s="5" t="s">
        <v>21</v>
      </c>
      <c r="Q83" s="5" t="s">
        <v>21</v>
      </c>
      <c r="R83" s="5" t="s">
        <v>21</v>
      </c>
      <c r="S83" s="5" t="s">
        <v>21</v>
      </c>
      <c r="T83" s="5" t="s">
        <v>1686</v>
      </c>
      <c r="U83" s="5" t="s">
        <v>1687</v>
      </c>
      <c r="V83" s="5" t="s">
        <v>1688</v>
      </c>
      <c r="W83" s="5" t="s">
        <v>1689</v>
      </c>
      <c r="X83" s="5" t="s">
        <v>1690</v>
      </c>
      <c r="Y83" s="5" t="s">
        <v>1691</v>
      </c>
      <c r="Z83" s="5" t="s">
        <v>1692</v>
      </c>
      <c r="AA83" s="5" t="s">
        <v>1693</v>
      </c>
      <c r="AB83" s="5" t="s">
        <v>1694</v>
      </c>
      <c r="AC83" s="5" t="s">
        <v>1695</v>
      </c>
      <c r="AD83" s="5" t="s">
        <v>1696</v>
      </c>
      <c r="AE83" s="5" t="s">
        <v>1697</v>
      </c>
      <c r="AF83" s="5">
        <v>53</v>
      </c>
      <c r="AG83" s="5">
        <v>43</v>
      </c>
      <c r="AH83" s="5">
        <v>48</v>
      </c>
      <c r="AI83" s="5">
        <v>8</v>
      </c>
      <c r="AJ83" s="5">
        <v>57</v>
      </c>
      <c r="AK83" s="5" t="s">
        <v>63</v>
      </c>
      <c r="AL83" s="5" t="s">
        <v>64</v>
      </c>
      <c r="AM83" s="5" t="s">
        <v>65</v>
      </c>
      <c r="AN83" s="5" t="s">
        <v>66</v>
      </c>
      <c r="AO83" s="5" t="s">
        <v>67</v>
      </c>
      <c r="AP83" s="5" t="s">
        <v>21</v>
      </c>
      <c r="AQ83" s="5" t="s">
        <v>54</v>
      </c>
      <c r="AR83" s="5" t="s">
        <v>68</v>
      </c>
      <c r="AS83" s="5" t="s">
        <v>199</v>
      </c>
      <c r="AT83" s="5">
        <v>2021</v>
      </c>
      <c r="AU83" s="5">
        <v>25</v>
      </c>
      <c r="AV83" s="5">
        <v>6</v>
      </c>
      <c r="AW83" s="5" t="s">
        <v>21</v>
      </c>
      <c r="AX83" s="5" t="s">
        <v>21</v>
      </c>
      <c r="AY83" s="5" t="s">
        <v>21</v>
      </c>
      <c r="AZ83" s="5" t="s">
        <v>21</v>
      </c>
      <c r="BA83" s="5">
        <v>1536</v>
      </c>
      <c r="BB83" s="5">
        <v>1552</v>
      </c>
      <c r="BC83" s="5">
        <v>1362361321989928</v>
      </c>
      <c r="BD83" s="5" t="s">
        <v>1698</v>
      </c>
      <c r="BE83" s="5" t="str">
        <f>HYPERLINK("http://dx.doi.org/10.1177/1362361321989928","http://dx.doi.org/10.1177/1362361321989928")</f>
        <v>http://dx.doi.org/10.1177/1362361321989928</v>
      </c>
      <c r="BF83" s="5" t="s">
        <v>21</v>
      </c>
      <c r="BG83" s="5" t="s">
        <v>1699</v>
      </c>
      <c r="BH83" s="5">
        <v>17</v>
      </c>
      <c r="BI83" s="5" t="s">
        <v>44</v>
      </c>
      <c r="BJ83" s="5" t="s">
        <v>45</v>
      </c>
      <c r="BK83" s="5" t="s">
        <v>46</v>
      </c>
      <c r="BL83" s="5" t="s">
        <v>1700</v>
      </c>
      <c r="BM83" s="5">
        <v>33567883</v>
      </c>
      <c r="BN83" s="5" t="s">
        <v>137</v>
      </c>
      <c r="BO83" s="5" t="s">
        <v>21</v>
      </c>
      <c r="BP83" s="5" t="s">
        <v>21</v>
      </c>
      <c r="BQ83" s="5" t="s">
        <v>49</v>
      </c>
      <c r="BR83" s="5" t="s">
        <v>1701</v>
      </c>
      <c r="BS83" s="5" t="str">
        <f>HYPERLINK("https%3A%2F%2Fwww.webofscience.com%2Fwos%2Fwoscc%2Ffull-record%2FWOS:000627533000001","View Full Record in Web of Science")</f>
        <v>View Full Record in Web of Science</v>
      </c>
    </row>
    <row r="84" spans="1:71" x14ac:dyDescent="0.25">
      <c r="A84" t="s">
        <v>19</v>
      </c>
      <c r="B84" s="5" t="s">
        <v>1702</v>
      </c>
      <c r="C84" s="5" t="s">
        <v>21</v>
      </c>
      <c r="D84" s="5" t="s">
        <v>21</v>
      </c>
      <c r="E84" s="5" t="s">
        <v>21</v>
      </c>
      <c r="F84" s="5" t="s">
        <v>1703</v>
      </c>
      <c r="G84" s="5" t="s">
        <v>21</v>
      </c>
      <c r="H84" s="5" t="s">
        <v>21</v>
      </c>
      <c r="I84" s="5" t="s">
        <v>1704</v>
      </c>
      <c r="J84" s="12" t="s">
        <v>1705</v>
      </c>
      <c r="K84" s="5" t="s">
        <v>21</v>
      </c>
      <c r="L84" s="5" t="s">
        <v>21</v>
      </c>
      <c r="M84" s="5" t="s">
        <v>25</v>
      </c>
      <c r="N84" s="5" t="s">
        <v>26</v>
      </c>
      <c r="O84" s="5" t="s">
        <v>21</v>
      </c>
      <c r="P84" s="5" t="s">
        <v>21</v>
      </c>
      <c r="Q84" s="5" t="s">
        <v>21</v>
      </c>
      <c r="R84" s="5" t="s">
        <v>21</v>
      </c>
      <c r="S84" s="5" t="s">
        <v>21</v>
      </c>
      <c r="T84" s="5" t="s">
        <v>1706</v>
      </c>
      <c r="U84" s="5" t="s">
        <v>1707</v>
      </c>
      <c r="V84" s="5" t="s">
        <v>1708</v>
      </c>
      <c r="W84" s="5" t="s">
        <v>1709</v>
      </c>
      <c r="X84" s="5" t="s">
        <v>1284</v>
      </c>
      <c r="Y84" s="5" t="s">
        <v>1710</v>
      </c>
      <c r="Z84" s="5" t="s">
        <v>1711</v>
      </c>
      <c r="AA84" s="5" t="s">
        <v>1712</v>
      </c>
      <c r="AB84" s="5" t="s">
        <v>1713</v>
      </c>
      <c r="AC84" s="5" t="s">
        <v>1714</v>
      </c>
      <c r="AD84" s="5" t="s">
        <v>1715</v>
      </c>
      <c r="AE84" s="5" t="s">
        <v>1716</v>
      </c>
      <c r="AF84" s="5">
        <v>104</v>
      </c>
      <c r="AG84" s="5">
        <v>43</v>
      </c>
      <c r="AH84" s="5">
        <v>44</v>
      </c>
      <c r="AI84" s="5">
        <v>7</v>
      </c>
      <c r="AJ84" s="5">
        <v>41</v>
      </c>
      <c r="AK84" s="5" t="s">
        <v>153</v>
      </c>
      <c r="AL84" s="5" t="s">
        <v>154</v>
      </c>
      <c r="AM84" s="5" t="s">
        <v>155</v>
      </c>
      <c r="AN84" s="5" t="s">
        <v>1717</v>
      </c>
      <c r="AO84" s="5" t="s">
        <v>21</v>
      </c>
      <c r="AP84" s="5" t="s">
        <v>21</v>
      </c>
      <c r="AQ84" s="5" t="s">
        <v>1718</v>
      </c>
      <c r="AR84" s="5" t="s">
        <v>1719</v>
      </c>
      <c r="AS84" s="5" t="s">
        <v>1457</v>
      </c>
      <c r="AT84" s="5">
        <v>2020</v>
      </c>
      <c r="AU84" s="5">
        <v>14</v>
      </c>
      <c r="AV84" s="5" t="s">
        <v>21</v>
      </c>
      <c r="AW84" s="5" t="s">
        <v>21</v>
      </c>
      <c r="AX84" s="5" t="s">
        <v>21</v>
      </c>
      <c r="AY84" s="5" t="s">
        <v>21</v>
      </c>
      <c r="AZ84" s="5" t="s">
        <v>21</v>
      </c>
      <c r="BA84" s="5" t="s">
        <v>21</v>
      </c>
      <c r="BB84" s="5" t="s">
        <v>21</v>
      </c>
      <c r="BC84" s="5">
        <v>90</v>
      </c>
      <c r="BD84" s="5" t="s">
        <v>1720</v>
      </c>
      <c r="BE84" s="5" t="str">
        <f>HYPERLINK("http://dx.doi.org/10.3389/fnhum.2020.00090","http://dx.doi.org/10.3389/fnhum.2020.00090")</f>
        <v>http://dx.doi.org/10.3389/fnhum.2020.00090</v>
      </c>
      <c r="BF84" s="5" t="s">
        <v>21</v>
      </c>
      <c r="BG84" s="5" t="s">
        <v>21</v>
      </c>
      <c r="BH84" s="5">
        <v>16</v>
      </c>
      <c r="BI84" s="5" t="s">
        <v>1721</v>
      </c>
      <c r="BJ84" s="5" t="s">
        <v>92</v>
      </c>
      <c r="BK84" s="5" t="s">
        <v>1722</v>
      </c>
      <c r="BL84" s="5" t="s">
        <v>1723</v>
      </c>
      <c r="BM84" s="5">
        <v>32317949</v>
      </c>
      <c r="BN84" s="5" t="s">
        <v>864</v>
      </c>
      <c r="BO84" s="5" t="s">
        <v>21</v>
      </c>
      <c r="BP84" s="5" t="s">
        <v>21</v>
      </c>
      <c r="BQ84" s="5" t="s">
        <v>49</v>
      </c>
      <c r="BR84" s="5" t="s">
        <v>1724</v>
      </c>
      <c r="BS84" s="5" t="str">
        <f>HYPERLINK("https%3A%2F%2Fwww.webofscience.com%2Fwos%2Fwoscc%2Ffull-record%2FWOS:000528916700001","View Full Record in Web of Science")</f>
        <v>View Full Record in Web of Science</v>
      </c>
    </row>
    <row r="85" spans="1:71" x14ac:dyDescent="0.25">
      <c r="A85" t="s">
        <v>19</v>
      </c>
      <c r="B85" s="5" t="s">
        <v>1725</v>
      </c>
      <c r="C85" s="5" t="s">
        <v>21</v>
      </c>
      <c r="D85" s="5" t="s">
        <v>21</v>
      </c>
      <c r="E85" s="5" t="s">
        <v>21</v>
      </c>
      <c r="F85" s="5" t="s">
        <v>1726</v>
      </c>
      <c r="G85" s="5" t="s">
        <v>21</v>
      </c>
      <c r="H85" s="5" t="s">
        <v>21</v>
      </c>
      <c r="I85" s="5" t="s">
        <v>1727</v>
      </c>
      <c r="J85" s="12" t="s">
        <v>1728</v>
      </c>
      <c r="K85" s="5" t="s">
        <v>21</v>
      </c>
      <c r="L85" s="5" t="s">
        <v>21</v>
      </c>
      <c r="M85" s="5" t="s">
        <v>25</v>
      </c>
      <c r="N85" s="5" t="s">
        <v>26</v>
      </c>
      <c r="O85" s="5" t="s">
        <v>21</v>
      </c>
      <c r="P85" s="5" t="s">
        <v>21</v>
      </c>
      <c r="Q85" s="5" t="s">
        <v>21</v>
      </c>
      <c r="R85" s="5" t="s">
        <v>21</v>
      </c>
      <c r="S85" s="5" t="s">
        <v>21</v>
      </c>
      <c r="T85" s="5" t="s">
        <v>1729</v>
      </c>
      <c r="U85" s="5" t="s">
        <v>1730</v>
      </c>
      <c r="V85" s="5" t="s">
        <v>1731</v>
      </c>
      <c r="W85" s="5" t="s">
        <v>1732</v>
      </c>
      <c r="X85" s="5" t="s">
        <v>1733</v>
      </c>
      <c r="Y85" s="5" t="s">
        <v>1734</v>
      </c>
      <c r="Z85" s="5" t="s">
        <v>1735</v>
      </c>
      <c r="AA85" s="5" t="s">
        <v>1736</v>
      </c>
      <c r="AB85" s="5" t="s">
        <v>1737</v>
      </c>
      <c r="AC85" s="5" t="s">
        <v>1738</v>
      </c>
      <c r="AD85" s="5" t="s">
        <v>1739</v>
      </c>
      <c r="AE85" s="5" t="s">
        <v>1740</v>
      </c>
      <c r="AF85" s="5">
        <v>78</v>
      </c>
      <c r="AG85" s="5">
        <v>43</v>
      </c>
      <c r="AH85" s="5">
        <v>49</v>
      </c>
      <c r="AI85" s="5">
        <v>12</v>
      </c>
      <c r="AJ85" s="5">
        <v>100</v>
      </c>
      <c r="AK85" s="5" t="s">
        <v>110</v>
      </c>
      <c r="AL85" s="5" t="s">
        <v>84</v>
      </c>
      <c r="AM85" s="5" t="s">
        <v>111</v>
      </c>
      <c r="AN85" s="5" t="s">
        <v>1741</v>
      </c>
      <c r="AO85" s="5" t="s">
        <v>1742</v>
      </c>
      <c r="AP85" s="5" t="s">
        <v>21</v>
      </c>
      <c r="AQ85" s="5" t="s">
        <v>1743</v>
      </c>
      <c r="AR85" s="5" t="s">
        <v>1744</v>
      </c>
      <c r="AS85" s="5" t="s">
        <v>89</v>
      </c>
      <c r="AT85" s="5">
        <v>2017</v>
      </c>
      <c r="AU85" s="5">
        <v>93</v>
      </c>
      <c r="AV85" s="5" t="s">
        <v>21</v>
      </c>
      <c r="AW85" s="5" t="s">
        <v>21</v>
      </c>
      <c r="AX85" s="5" t="s">
        <v>21</v>
      </c>
      <c r="AY85" s="5" t="s">
        <v>21</v>
      </c>
      <c r="AZ85" s="5" t="s">
        <v>21</v>
      </c>
      <c r="BA85" s="5">
        <v>55</v>
      </c>
      <c r="BB85" s="5">
        <v>66</v>
      </c>
      <c r="BC85" s="5" t="s">
        <v>21</v>
      </c>
      <c r="BD85" s="5" t="s">
        <v>1745</v>
      </c>
      <c r="BE85" s="5" t="str">
        <f>HYPERLINK("http://dx.doi.org/10.1016/j.brat.2017.03.014","http://dx.doi.org/10.1016/j.brat.2017.03.014")</f>
        <v>http://dx.doi.org/10.1016/j.brat.2017.03.014</v>
      </c>
      <c r="BF85" s="5" t="s">
        <v>21</v>
      </c>
      <c r="BG85" s="5" t="s">
        <v>21</v>
      </c>
      <c r="BH85" s="5">
        <v>12</v>
      </c>
      <c r="BI85" s="5" t="s">
        <v>992</v>
      </c>
      <c r="BJ85" s="5" t="s">
        <v>45</v>
      </c>
      <c r="BK85" s="5" t="s">
        <v>46</v>
      </c>
      <c r="BL85" s="5" t="s">
        <v>1746</v>
      </c>
      <c r="BM85" s="5">
        <v>28384509</v>
      </c>
      <c r="BN85" s="5" t="s">
        <v>120</v>
      </c>
      <c r="BO85" s="5" t="s">
        <v>21</v>
      </c>
      <c r="BP85" s="5" t="s">
        <v>21</v>
      </c>
      <c r="BQ85" s="5" t="s">
        <v>49</v>
      </c>
      <c r="BR85" s="5" t="s">
        <v>1747</v>
      </c>
      <c r="BS85" s="5" t="str">
        <f>HYPERLINK("https%3A%2F%2Fwww.webofscience.com%2Fwos%2Fwoscc%2Ffull-record%2FWOS:000401383900008","View Full Record in Web of Science")</f>
        <v>View Full Record in Web of Science</v>
      </c>
    </row>
    <row r="86" spans="1:71" x14ac:dyDescent="0.25">
      <c r="A86" t="s">
        <v>19</v>
      </c>
      <c r="B86" s="5" t="s">
        <v>1748</v>
      </c>
      <c r="C86" s="5" t="s">
        <v>21</v>
      </c>
      <c r="D86" s="5" t="s">
        <v>21</v>
      </c>
      <c r="E86" s="5" t="s">
        <v>21</v>
      </c>
      <c r="F86" s="5" t="s">
        <v>1749</v>
      </c>
      <c r="G86" s="5" t="s">
        <v>21</v>
      </c>
      <c r="H86" s="5" t="s">
        <v>21</v>
      </c>
      <c r="I86" s="5" t="s">
        <v>1750</v>
      </c>
      <c r="J86" s="12" t="s">
        <v>1751</v>
      </c>
      <c r="K86" s="5" t="s">
        <v>21</v>
      </c>
      <c r="L86" s="5" t="s">
        <v>21</v>
      </c>
      <c r="M86" s="5" t="s">
        <v>25</v>
      </c>
      <c r="N86" s="5" t="s">
        <v>26</v>
      </c>
      <c r="O86" s="5" t="s">
        <v>21</v>
      </c>
      <c r="P86" s="5" t="s">
        <v>21</v>
      </c>
      <c r="Q86" s="5" t="s">
        <v>21</v>
      </c>
      <c r="R86" s="5" t="s">
        <v>21</v>
      </c>
      <c r="S86" s="5" t="s">
        <v>21</v>
      </c>
      <c r="T86" s="5" t="s">
        <v>1752</v>
      </c>
      <c r="U86" s="5" t="s">
        <v>1753</v>
      </c>
      <c r="V86" s="5" t="s">
        <v>1754</v>
      </c>
      <c r="W86" s="5" t="s">
        <v>1755</v>
      </c>
      <c r="X86" s="5" t="s">
        <v>1756</v>
      </c>
      <c r="Y86" s="5" t="s">
        <v>1757</v>
      </c>
      <c r="Z86" s="5" t="s">
        <v>1758</v>
      </c>
      <c r="AA86" s="5" t="s">
        <v>1759</v>
      </c>
      <c r="AB86" s="5" t="s">
        <v>1760</v>
      </c>
      <c r="AC86" s="5" t="s">
        <v>21</v>
      </c>
      <c r="AD86" s="5" t="s">
        <v>21</v>
      </c>
      <c r="AE86" s="5" t="s">
        <v>21</v>
      </c>
      <c r="AF86" s="5">
        <v>103</v>
      </c>
      <c r="AG86" s="5">
        <v>41</v>
      </c>
      <c r="AH86" s="5">
        <v>44</v>
      </c>
      <c r="AI86" s="5">
        <v>22</v>
      </c>
      <c r="AJ86" s="5">
        <v>119</v>
      </c>
      <c r="AK86" s="5" t="s">
        <v>904</v>
      </c>
      <c r="AL86" s="5" t="s">
        <v>1497</v>
      </c>
      <c r="AM86" s="5" t="s">
        <v>1498</v>
      </c>
      <c r="AN86" s="5" t="s">
        <v>1761</v>
      </c>
      <c r="AO86" s="5" t="s">
        <v>1762</v>
      </c>
      <c r="AP86" s="5" t="s">
        <v>21</v>
      </c>
      <c r="AQ86" s="5" t="s">
        <v>1763</v>
      </c>
      <c r="AR86" s="5" t="s">
        <v>1764</v>
      </c>
      <c r="AS86" s="5" t="s">
        <v>334</v>
      </c>
      <c r="AT86" s="5">
        <v>2020</v>
      </c>
      <c r="AU86" s="5">
        <v>53</v>
      </c>
      <c r="AV86" s="5">
        <v>2</v>
      </c>
      <c r="AW86" s="5" t="s">
        <v>21</v>
      </c>
      <c r="AX86" s="5" t="s">
        <v>21</v>
      </c>
      <c r="AY86" s="5" t="s">
        <v>21</v>
      </c>
      <c r="AZ86" s="5" t="s">
        <v>21</v>
      </c>
      <c r="BA86" s="5">
        <v>1039</v>
      </c>
      <c r="BB86" s="5">
        <v>1069</v>
      </c>
      <c r="BC86" s="5" t="s">
        <v>21</v>
      </c>
      <c r="BD86" s="5" t="s">
        <v>1765</v>
      </c>
      <c r="BE86" s="5" t="str">
        <f>HYPERLINK("http://dx.doi.org/10.1007/s10462-019-09686-8","http://dx.doi.org/10.1007/s10462-019-09686-8")</f>
        <v>http://dx.doi.org/10.1007/s10462-019-09686-8</v>
      </c>
      <c r="BF86" s="5" t="s">
        <v>21</v>
      </c>
      <c r="BG86" s="5" t="s">
        <v>21</v>
      </c>
      <c r="BH86" s="5">
        <v>31</v>
      </c>
      <c r="BI86" s="5" t="s">
        <v>1766</v>
      </c>
      <c r="BJ86" s="5" t="s">
        <v>92</v>
      </c>
      <c r="BK86" s="5" t="s">
        <v>715</v>
      </c>
      <c r="BL86" s="5" t="s">
        <v>1767</v>
      </c>
      <c r="BM86" s="5" t="s">
        <v>21</v>
      </c>
      <c r="BN86" s="5" t="s">
        <v>21</v>
      </c>
      <c r="BO86" s="5" t="s">
        <v>21</v>
      </c>
      <c r="BP86" s="5" t="s">
        <v>21</v>
      </c>
      <c r="BQ86" s="5" t="s">
        <v>49</v>
      </c>
      <c r="BR86" s="5" t="s">
        <v>1768</v>
      </c>
      <c r="BS86" s="5" t="str">
        <f>HYPERLINK("https%3A%2F%2Fwww.webofscience.com%2Fwos%2Fwoscc%2Ffull-record%2FWOS:000513275100008","View Full Record in Web of Science")</f>
        <v>View Full Record in Web of Science</v>
      </c>
    </row>
    <row r="87" spans="1:71" x14ac:dyDescent="0.25">
      <c r="A87" t="s">
        <v>19</v>
      </c>
      <c r="B87" s="5" t="s">
        <v>1769</v>
      </c>
      <c r="C87" s="5" t="s">
        <v>21</v>
      </c>
      <c r="D87" s="5" t="s">
        <v>21</v>
      </c>
      <c r="E87" s="5" t="s">
        <v>21</v>
      </c>
      <c r="F87" s="5" t="s">
        <v>1770</v>
      </c>
      <c r="G87" s="5" t="s">
        <v>21</v>
      </c>
      <c r="H87" s="5" t="s">
        <v>21</v>
      </c>
      <c r="I87" s="5" t="s">
        <v>1771</v>
      </c>
      <c r="J87" s="12" t="s">
        <v>1013</v>
      </c>
      <c r="K87" s="5" t="s">
        <v>21</v>
      </c>
      <c r="L87" s="5" t="s">
        <v>21</v>
      </c>
      <c r="M87" s="5" t="s">
        <v>25</v>
      </c>
      <c r="N87" s="5" t="s">
        <v>26</v>
      </c>
      <c r="O87" s="5" t="s">
        <v>21</v>
      </c>
      <c r="P87" s="5" t="s">
        <v>21</v>
      </c>
      <c r="Q87" s="5" t="s">
        <v>21</v>
      </c>
      <c r="R87" s="5" t="s">
        <v>21</v>
      </c>
      <c r="S87" s="5" t="s">
        <v>21</v>
      </c>
      <c r="T87" s="5" t="s">
        <v>1772</v>
      </c>
      <c r="U87" s="5" t="s">
        <v>1773</v>
      </c>
      <c r="V87" s="5" t="s">
        <v>1774</v>
      </c>
      <c r="W87" s="5" t="s">
        <v>1775</v>
      </c>
      <c r="X87" s="5" t="s">
        <v>21</v>
      </c>
      <c r="Y87" s="5" t="s">
        <v>1776</v>
      </c>
      <c r="Z87" s="5" t="s">
        <v>1777</v>
      </c>
      <c r="AA87" s="5" t="s">
        <v>1778</v>
      </c>
      <c r="AB87" s="5" t="s">
        <v>1779</v>
      </c>
      <c r="AC87" s="5" t="s">
        <v>1780</v>
      </c>
      <c r="AD87" s="5" t="s">
        <v>1780</v>
      </c>
      <c r="AE87" s="5" t="s">
        <v>1781</v>
      </c>
      <c r="AF87" s="5">
        <v>33</v>
      </c>
      <c r="AG87" s="5">
        <v>41</v>
      </c>
      <c r="AH87" s="5">
        <v>45</v>
      </c>
      <c r="AI87" s="5">
        <v>9</v>
      </c>
      <c r="AJ87" s="5">
        <v>61</v>
      </c>
      <c r="AK87" s="5" t="s">
        <v>349</v>
      </c>
      <c r="AL87" s="5" t="s">
        <v>350</v>
      </c>
      <c r="AM87" s="5" t="s">
        <v>351</v>
      </c>
      <c r="AN87" s="5" t="s">
        <v>1019</v>
      </c>
      <c r="AO87" s="5" t="s">
        <v>1020</v>
      </c>
      <c r="AP87" s="5" t="s">
        <v>21</v>
      </c>
      <c r="AQ87" s="5" t="s">
        <v>1021</v>
      </c>
      <c r="AR87" s="5" t="s">
        <v>1022</v>
      </c>
      <c r="AS87" s="5" t="s">
        <v>1023</v>
      </c>
      <c r="AT87" s="5">
        <v>2020</v>
      </c>
      <c r="AU87" s="5">
        <v>23</v>
      </c>
      <c r="AV87" s="5">
        <v>1</v>
      </c>
      <c r="AW87" s="5" t="s">
        <v>21</v>
      </c>
      <c r="AX87" s="5" t="s">
        <v>21</v>
      </c>
      <c r="AY87" s="5" t="s">
        <v>21</v>
      </c>
      <c r="AZ87" s="5" t="s">
        <v>21</v>
      </c>
      <c r="BA87" s="5">
        <v>10</v>
      </c>
      <c r="BB87" s="5">
        <v>15</v>
      </c>
      <c r="BC87" s="5" t="s">
        <v>21</v>
      </c>
      <c r="BD87" s="5" t="s">
        <v>1782</v>
      </c>
      <c r="BE87" s="5" t="str">
        <f>HYPERLINK("http://dx.doi.org/10.1089/cyber.2019.0093","http://dx.doi.org/10.1089/cyber.2019.0093")</f>
        <v>http://dx.doi.org/10.1089/cyber.2019.0093</v>
      </c>
      <c r="BF87" s="5" t="s">
        <v>21</v>
      </c>
      <c r="BG87" s="5" t="s">
        <v>1783</v>
      </c>
      <c r="BH87" s="5">
        <v>6</v>
      </c>
      <c r="BI87" s="5" t="s">
        <v>1026</v>
      </c>
      <c r="BJ87" s="5" t="s">
        <v>45</v>
      </c>
      <c r="BK87" s="5" t="s">
        <v>46</v>
      </c>
      <c r="BL87" s="5" t="s">
        <v>1027</v>
      </c>
      <c r="BM87" s="5">
        <v>31355673</v>
      </c>
      <c r="BN87" s="5" t="s">
        <v>95</v>
      </c>
      <c r="BO87" s="5" t="s">
        <v>21</v>
      </c>
      <c r="BP87" s="5" t="s">
        <v>21</v>
      </c>
      <c r="BQ87" s="5" t="s">
        <v>49</v>
      </c>
      <c r="BR87" s="5" t="s">
        <v>1784</v>
      </c>
      <c r="BS87" s="5" t="str">
        <f>HYPERLINK("https%3A%2F%2Fwww.webofscience.com%2Fwos%2Fwoscc%2Ffull-record%2FWOS:000479757000001","View Full Record in Web of Science")</f>
        <v>View Full Record in Web of Science</v>
      </c>
    </row>
    <row r="88" spans="1:71" x14ac:dyDescent="0.25">
      <c r="A88" t="s">
        <v>19</v>
      </c>
      <c r="B88" s="5" t="s">
        <v>1785</v>
      </c>
      <c r="C88" s="5" t="s">
        <v>21</v>
      </c>
      <c r="D88" s="5" t="s">
        <v>21</v>
      </c>
      <c r="E88" s="5" t="s">
        <v>21</v>
      </c>
      <c r="F88" s="5" t="s">
        <v>1786</v>
      </c>
      <c r="G88" s="5" t="s">
        <v>21</v>
      </c>
      <c r="H88" s="5" t="s">
        <v>21</v>
      </c>
      <c r="I88" s="5" t="s">
        <v>1787</v>
      </c>
      <c r="J88" s="12" t="s">
        <v>24</v>
      </c>
      <c r="K88" s="5" t="s">
        <v>21</v>
      </c>
      <c r="L88" s="5" t="s">
        <v>21</v>
      </c>
      <c r="M88" s="5" t="s">
        <v>25</v>
      </c>
      <c r="N88" s="5" t="s">
        <v>26</v>
      </c>
      <c r="O88" s="5" t="s">
        <v>21</v>
      </c>
      <c r="P88" s="5" t="s">
        <v>21</v>
      </c>
      <c r="Q88" s="5" t="s">
        <v>21</v>
      </c>
      <c r="R88" s="5" t="s">
        <v>21</v>
      </c>
      <c r="S88" s="5" t="s">
        <v>21</v>
      </c>
      <c r="T88" s="5" t="s">
        <v>1788</v>
      </c>
      <c r="U88" s="5" t="s">
        <v>1789</v>
      </c>
      <c r="V88" s="5" t="s">
        <v>1790</v>
      </c>
      <c r="W88" s="5" t="s">
        <v>1791</v>
      </c>
      <c r="X88" s="5" t="s">
        <v>1792</v>
      </c>
      <c r="Y88" s="5" t="s">
        <v>1793</v>
      </c>
      <c r="Z88" s="5" t="s">
        <v>1794</v>
      </c>
      <c r="AA88" s="5" t="s">
        <v>1795</v>
      </c>
      <c r="AB88" s="5" t="s">
        <v>21</v>
      </c>
      <c r="AC88" s="5" t="s">
        <v>1796</v>
      </c>
      <c r="AD88" s="5" t="s">
        <v>1797</v>
      </c>
      <c r="AE88" s="5" t="s">
        <v>1798</v>
      </c>
      <c r="AF88" s="5">
        <v>35</v>
      </c>
      <c r="AG88" s="5">
        <v>40</v>
      </c>
      <c r="AH88" s="5">
        <v>44</v>
      </c>
      <c r="AI88" s="5">
        <v>5</v>
      </c>
      <c r="AJ88" s="5">
        <v>39</v>
      </c>
      <c r="AK88" s="5" t="s">
        <v>35</v>
      </c>
      <c r="AL88" s="5" t="s">
        <v>36</v>
      </c>
      <c r="AM88" s="5" t="s">
        <v>37</v>
      </c>
      <c r="AN88" s="5" t="s">
        <v>38</v>
      </c>
      <c r="AO88" s="5" t="s">
        <v>39</v>
      </c>
      <c r="AP88" s="5" t="s">
        <v>21</v>
      </c>
      <c r="AQ88" s="5" t="s">
        <v>40</v>
      </c>
      <c r="AR88" s="5" t="s">
        <v>41</v>
      </c>
      <c r="AS88" s="5" t="s">
        <v>334</v>
      </c>
      <c r="AT88" s="5">
        <v>2021</v>
      </c>
      <c r="AU88" s="5">
        <v>51</v>
      </c>
      <c r="AV88" s="5">
        <v>2</v>
      </c>
      <c r="AW88" s="5" t="s">
        <v>21</v>
      </c>
      <c r="AX88" s="5" t="s">
        <v>21</v>
      </c>
      <c r="AY88" s="5" t="s">
        <v>21</v>
      </c>
      <c r="AZ88" s="5" t="s">
        <v>21</v>
      </c>
      <c r="BA88" s="5">
        <v>741</v>
      </c>
      <c r="BB88" s="5">
        <v>748</v>
      </c>
      <c r="BC88" s="5" t="s">
        <v>21</v>
      </c>
      <c r="BD88" s="5" t="s">
        <v>1799</v>
      </c>
      <c r="BE88" s="5" t="str">
        <f>HYPERLINK("http://dx.doi.org/10.1007/s10803-020-04571-8","http://dx.doi.org/10.1007/s10803-020-04571-8")</f>
        <v>http://dx.doi.org/10.1007/s10803-020-04571-8</v>
      </c>
      <c r="BF88" s="5" t="s">
        <v>21</v>
      </c>
      <c r="BG88" s="5" t="s">
        <v>1800</v>
      </c>
      <c r="BH88" s="5">
        <v>8</v>
      </c>
      <c r="BI88" s="5" t="s">
        <v>44</v>
      </c>
      <c r="BJ88" s="5" t="s">
        <v>45</v>
      </c>
      <c r="BK88" s="5" t="s">
        <v>46</v>
      </c>
      <c r="BL88" s="5" t="s">
        <v>1801</v>
      </c>
      <c r="BM88" s="5">
        <v>32642959</v>
      </c>
      <c r="BN88" s="5" t="s">
        <v>21</v>
      </c>
      <c r="BO88" s="5" t="s">
        <v>21</v>
      </c>
      <c r="BP88" s="5" t="s">
        <v>21</v>
      </c>
      <c r="BQ88" s="5" t="s">
        <v>49</v>
      </c>
      <c r="BR88" s="5" t="s">
        <v>1802</v>
      </c>
      <c r="BS88" s="5" t="str">
        <f>HYPERLINK("https%3A%2F%2Fwww.webofscience.com%2Fwos%2Fwoscc%2Ffull-record%2FWOS:000546511600003","View Full Record in Web of Science")</f>
        <v>View Full Record in Web of Science</v>
      </c>
    </row>
    <row r="89" spans="1:71" x14ac:dyDescent="0.25">
      <c r="A89" t="s">
        <v>19</v>
      </c>
      <c r="B89" s="5" t="s">
        <v>1803</v>
      </c>
      <c r="C89" s="5" t="s">
        <v>21</v>
      </c>
      <c r="D89" s="5" t="s">
        <v>21</v>
      </c>
      <c r="E89" s="5" t="s">
        <v>21</v>
      </c>
      <c r="F89" s="5" t="s">
        <v>1804</v>
      </c>
      <c r="G89" s="5" t="s">
        <v>21</v>
      </c>
      <c r="H89" s="5" t="s">
        <v>21</v>
      </c>
      <c r="I89" s="5" t="s">
        <v>1805</v>
      </c>
      <c r="J89" s="12" t="s">
        <v>1806</v>
      </c>
      <c r="K89" s="5" t="s">
        <v>21</v>
      </c>
      <c r="L89" s="5" t="s">
        <v>21</v>
      </c>
      <c r="M89" s="5" t="s">
        <v>25</v>
      </c>
      <c r="N89" s="5" t="s">
        <v>26</v>
      </c>
      <c r="O89" s="5" t="s">
        <v>21</v>
      </c>
      <c r="P89" s="5" t="s">
        <v>21</v>
      </c>
      <c r="Q89" s="5" t="s">
        <v>21</v>
      </c>
      <c r="R89" s="5" t="s">
        <v>21</v>
      </c>
      <c r="S89" s="5" t="s">
        <v>21</v>
      </c>
      <c r="T89" s="5" t="s">
        <v>1807</v>
      </c>
      <c r="U89" s="5" t="s">
        <v>1808</v>
      </c>
      <c r="V89" s="5" t="s">
        <v>1809</v>
      </c>
      <c r="W89" s="5" t="s">
        <v>1810</v>
      </c>
      <c r="X89" s="5" t="s">
        <v>1811</v>
      </c>
      <c r="Y89" s="5" t="s">
        <v>1812</v>
      </c>
      <c r="Z89" s="5" t="s">
        <v>1813</v>
      </c>
      <c r="AA89" s="5" t="s">
        <v>1814</v>
      </c>
      <c r="AB89" s="5" t="s">
        <v>1815</v>
      </c>
      <c r="AC89" s="5" t="s">
        <v>1816</v>
      </c>
      <c r="AD89" s="5" t="s">
        <v>1817</v>
      </c>
      <c r="AE89" s="5" t="s">
        <v>1818</v>
      </c>
      <c r="AF89" s="5">
        <v>52</v>
      </c>
      <c r="AG89" s="5">
        <v>40</v>
      </c>
      <c r="AH89" s="5">
        <v>43</v>
      </c>
      <c r="AI89" s="5">
        <v>3</v>
      </c>
      <c r="AJ89" s="5">
        <v>29</v>
      </c>
      <c r="AK89" s="5" t="s">
        <v>309</v>
      </c>
      <c r="AL89" s="5" t="s">
        <v>36</v>
      </c>
      <c r="AM89" s="5" t="s">
        <v>1819</v>
      </c>
      <c r="AN89" s="5" t="s">
        <v>1820</v>
      </c>
      <c r="AO89" s="5" t="s">
        <v>1821</v>
      </c>
      <c r="AP89" s="5" t="s">
        <v>21</v>
      </c>
      <c r="AQ89" s="5" t="s">
        <v>1822</v>
      </c>
      <c r="AR89" s="5" t="s">
        <v>1823</v>
      </c>
      <c r="AS89" s="5" t="s">
        <v>176</v>
      </c>
      <c r="AT89" s="5">
        <v>2014</v>
      </c>
      <c r="AU89" s="5">
        <v>44</v>
      </c>
      <c r="AV89" s="5">
        <v>4</v>
      </c>
      <c r="AW89" s="5" t="s">
        <v>21</v>
      </c>
      <c r="AX89" s="5" t="s">
        <v>21</v>
      </c>
      <c r="AY89" s="5" t="s">
        <v>21</v>
      </c>
      <c r="AZ89" s="5" t="s">
        <v>21</v>
      </c>
      <c r="BA89" s="5">
        <v>731</v>
      </c>
      <c r="BB89" s="5">
        <v>740</v>
      </c>
      <c r="BC89" s="5" t="s">
        <v>21</v>
      </c>
      <c r="BD89" s="5" t="s">
        <v>1824</v>
      </c>
      <c r="BE89" s="5" t="str">
        <f>HYPERLINK("http://dx.doi.org/10.1017/S0033291713001335","http://dx.doi.org/10.1017/S0033291713001335")</f>
        <v>http://dx.doi.org/10.1017/S0033291713001335</v>
      </c>
      <c r="BF89" s="5" t="s">
        <v>21</v>
      </c>
      <c r="BG89" s="5" t="s">
        <v>21</v>
      </c>
      <c r="BH89" s="5">
        <v>10</v>
      </c>
      <c r="BI89" s="5" t="s">
        <v>1825</v>
      </c>
      <c r="BJ89" s="5" t="s">
        <v>92</v>
      </c>
      <c r="BK89" s="5" t="s">
        <v>1826</v>
      </c>
      <c r="BL89" s="5" t="s">
        <v>1827</v>
      </c>
      <c r="BM89" s="5">
        <v>23759288</v>
      </c>
      <c r="BN89" s="5" t="s">
        <v>1828</v>
      </c>
      <c r="BO89" s="5" t="s">
        <v>21</v>
      </c>
      <c r="BP89" s="5" t="s">
        <v>21</v>
      </c>
      <c r="BQ89" s="5" t="s">
        <v>49</v>
      </c>
      <c r="BR89" s="5" t="s">
        <v>1829</v>
      </c>
      <c r="BS89" s="5" t="str">
        <f>HYPERLINK("https%3A%2F%2Fwww.webofscience.com%2Fwos%2Fwoscc%2Ffull-record%2FWOS:000332954700007","View Full Record in Web of Science")</f>
        <v>View Full Record in Web of Science</v>
      </c>
    </row>
    <row r="90" spans="1:71" x14ac:dyDescent="0.25">
      <c r="A90" t="s">
        <v>19</v>
      </c>
      <c r="B90" s="5" t="s">
        <v>1830</v>
      </c>
      <c r="C90" s="5" t="s">
        <v>21</v>
      </c>
      <c r="D90" s="5" t="s">
        <v>21</v>
      </c>
      <c r="E90" s="5" t="s">
        <v>21</v>
      </c>
      <c r="F90" s="5" t="s">
        <v>1831</v>
      </c>
      <c r="G90" s="5" t="s">
        <v>21</v>
      </c>
      <c r="H90" s="5" t="s">
        <v>21</v>
      </c>
      <c r="I90" s="5" t="s">
        <v>1832</v>
      </c>
      <c r="J90" s="12" t="s">
        <v>1833</v>
      </c>
      <c r="K90" s="5" t="s">
        <v>21</v>
      </c>
      <c r="L90" s="5" t="s">
        <v>21</v>
      </c>
      <c r="M90" s="5" t="s">
        <v>25</v>
      </c>
      <c r="N90" s="5" t="s">
        <v>76</v>
      </c>
      <c r="O90" s="5" t="s">
        <v>21</v>
      </c>
      <c r="P90" s="5" t="s">
        <v>21</v>
      </c>
      <c r="Q90" s="5" t="s">
        <v>21</v>
      </c>
      <c r="R90" s="5" t="s">
        <v>21</v>
      </c>
      <c r="S90" s="5" t="s">
        <v>21</v>
      </c>
      <c r="T90" s="5" t="s">
        <v>1834</v>
      </c>
      <c r="U90" s="5" t="s">
        <v>1835</v>
      </c>
      <c r="V90" s="5" t="s">
        <v>1836</v>
      </c>
      <c r="W90" s="5" t="s">
        <v>1837</v>
      </c>
      <c r="X90" s="5" t="s">
        <v>1838</v>
      </c>
      <c r="Y90" s="5" t="s">
        <v>1839</v>
      </c>
      <c r="Z90" s="5" t="s">
        <v>1840</v>
      </c>
      <c r="AA90" s="5" t="s">
        <v>1841</v>
      </c>
      <c r="AB90" s="5" t="s">
        <v>1842</v>
      </c>
      <c r="AC90" s="5" t="s">
        <v>21</v>
      </c>
      <c r="AD90" s="5" t="s">
        <v>21</v>
      </c>
      <c r="AE90" s="5" t="s">
        <v>21</v>
      </c>
      <c r="AF90" s="5">
        <v>71</v>
      </c>
      <c r="AG90" s="5">
        <v>39</v>
      </c>
      <c r="AH90" s="5">
        <v>39</v>
      </c>
      <c r="AI90" s="5">
        <v>3</v>
      </c>
      <c r="AJ90" s="5">
        <v>57</v>
      </c>
      <c r="AK90" s="5" t="s">
        <v>1843</v>
      </c>
      <c r="AL90" s="5" t="s">
        <v>310</v>
      </c>
      <c r="AM90" s="5" t="s">
        <v>1844</v>
      </c>
      <c r="AN90" s="5" t="s">
        <v>21</v>
      </c>
      <c r="AO90" s="5" t="s">
        <v>1845</v>
      </c>
      <c r="AP90" s="5" t="s">
        <v>21</v>
      </c>
      <c r="AQ90" s="5" t="s">
        <v>1833</v>
      </c>
      <c r="AR90" s="5" t="s">
        <v>1846</v>
      </c>
      <c r="AS90" s="5" t="s">
        <v>543</v>
      </c>
      <c r="AT90" s="5">
        <v>2022</v>
      </c>
      <c r="AU90" s="5">
        <v>8</v>
      </c>
      <c r="AV90" s="5">
        <v>11</v>
      </c>
      <c r="AW90" s="5" t="s">
        <v>21</v>
      </c>
      <c r="AX90" s="5" t="s">
        <v>21</v>
      </c>
      <c r="AY90" s="5" t="s">
        <v>21</v>
      </c>
      <c r="AZ90" s="5" t="s">
        <v>21</v>
      </c>
      <c r="BA90" s="5" t="s">
        <v>21</v>
      </c>
      <c r="BB90" s="5" t="s">
        <v>21</v>
      </c>
      <c r="BC90" s="5" t="s">
        <v>1847</v>
      </c>
      <c r="BD90" s="5" t="s">
        <v>1848</v>
      </c>
      <c r="BE90" s="5" t="str">
        <f>HYPERLINK("http://dx.doi.org/10.1016/j.heliyon.2022.e11762","http://dx.doi.org/10.1016/j.heliyon.2022.e11762")</f>
        <v>http://dx.doi.org/10.1016/j.heliyon.2022.e11762</v>
      </c>
      <c r="BF90" s="5" t="s">
        <v>21</v>
      </c>
      <c r="BG90" s="5" t="s">
        <v>1849</v>
      </c>
      <c r="BH90" s="5">
        <v>7</v>
      </c>
      <c r="BI90" s="5" t="s">
        <v>568</v>
      </c>
      <c r="BJ90" s="5" t="s">
        <v>524</v>
      </c>
      <c r="BK90" s="5" t="s">
        <v>569</v>
      </c>
      <c r="BL90" s="5" t="s">
        <v>1850</v>
      </c>
      <c r="BM90" s="5">
        <v>36458297</v>
      </c>
      <c r="BN90" s="5" t="s">
        <v>21</v>
      </c>
      <c r="BO90" s="5" t="s">
        <v>21</v>
      </c>
      <c r="BP90" s="5" t="s">
        <v>21</v>
      </c>
      <c r="BQ90" s="5" t="s">
        <v>49</v>
      </c>
      <c r="BR90" s="5" t="s">
        <v>1851</v>
      </c>
      <c r="BS90" s="5" t="str">
        <f>HYPERLINK("https%3A%2F%2Fwww.webofscience.com%2Fwos%2Fwoscc%2Ffull-record%2FWOS:000904033100002","View Full Record in Web of Science")</f>
        <v>View Full Record in Web of Science</v>
      </c>
    </row>
    <row r="91" spans="1:71" x14ac:dyDescent="0.25">
      <c r="A91" t="s">
        <v>19</v>
      </c>
      <c r="B91" s="5" t="s">
        <v>1852</v>
      </c>
      <c r="C91" s="5" t="s">
        <v>21</v>
      </c>
      <c r="D91" s="5" t="s">
        <v>21</v>
      </c>
      <c r="E91" s="5" t="s">
        <v>21</v>
      </c>
      <c r="F91" s="5" t="s">
        <v>1853</v>
      </c>
      <c r="G91" s="5" t="s">
        <v>21</v>
      </c>
      <c r="H91" s="5" t="s">
        <v>21</v>
      </c>
      <c r="I91" s="5" t="s">
        <v>1854</v>
      </c>
      <c r="J91" s="12" t="s">
        <v>1279</v>
      </c>
      <c r="K91" s="5" t="s">
        <v>21</v>
      </c>
      <c r="L91" s="5" t="s">
        <v>21</v>
      </c>
      <c r="M91" s="5" t="s">
        <v>25</v>
      </c>
      <c r="N91" s="5" t="s">
        <v>26</v>
      </c>
      <c r="O91" s="5" t="s">
        <v>21</v>
      </c>
      <c r="P91" s="5" t="s">
        <v>21</v>
      </c>
      <c r="Q91" s="5" t="s">
        <v>21</v>
      </c>
      <c r="R91" s="5" t="s">
        <v>21</v>
      </c>
      <c r="S91" s="5" t="s">
        <v>21</v>
      </c>
      <c r="T91" s="5" t="s">
        <v>1855</v>
      </c>
      <c r="U91" s="5" t="s">
        <v>21</v>
      </c>
      <c r="V91" s="5" t="s">
        <v>1856</v>
      </c>
      <c r="W91" s="5" t="s">
        <v>1857</v>
      </c>
      <c r="X91" s="5" t="s">
        <v>1858</v>
      </c>
      <c r="Y91" s="5" t="s">
        <v>1859</v>
      </c>
      <c r="Z91" s="5" t="s">
        <v>1860</v>
      </c>
      <c r="AA91" s="5" t="s">
        <v>21</v>
      </c>
      <c r="AB91" s="5" t="s">
        <v>1861</v>
      </c>
      <c r="AC91" s="5" t="s">
        <v>1862</v>
      </c>
      <c r="AD91" s="5" t="s">
        <v>1863</v>
      </c>
      <c r="AE91" s="5" t="s">
        <v>1864</v>
      </c>
      <c r="AF91" s="5">
        <v>18</v>
      </c>
      <c r="AG91" s="5">
        <v>39</v>
      </c>
      <c r="AH91" s="5">
        <v>43</v>
      </c>
      <c r="AI91" s="5">
        <v>6</v>
      </c>
      <c r="AJ91" s="5">
        <v>78</v>
      </c>
      <c r="AK91" s="5" t="s">
        <v>1292</v>
      </c>
      <c r="AL91" s="5" t="s">
        <v>252</v>
      </c>
      <c r="AM91" s="5" t="s">
        <v>1293</v>
      </c>
      <c r="AN91" s="5" t="s">
        <v>1294</v>
      </c>
      <c r="AO91" s="5" t="s">
        <v>1295</v>
      </c>
      <c r="AP91" s="5" t="s">
        <v>21</v>
      </c>
      <c r="AQ91" s="5" t="s">
        <v>1296</v>
      </c>
      <c r="AR91" s="5" t="s">
        <v>1297</v>
      </c>
      <c r="AS91" s="5" t="s">
        <v>199</v>
      </c>
      <c r="AT91" s="5">
        <v>2020</v>
      </c>
      <c r="AU91" s="5">
        <v>13</v>
      </c>
      <c r="AV91" s="5">
        <v>8</v>
      </c>
      <c r="AW91" s="5" t="s">
        <v>21</v>
      </c>
      <c r="AX91" s="5" t="s">
        <v>21</v>
      </c>
      <c r="AY91" s="5" t="s">
        <v>21</v>
      </c>
      <c r="AZ91" s="5" t="s">
        <v>21</v>
      </c>
      <c r="BA91" s="5">
        <v>1418</v>
      </c>
      <c r="BB91" s="5">
        <v>1424</v>
      </c>
      <c r="BC91" s="5" t="s">
        <v>21</v>
      </c>
      <c r="BD91" s="5" t="s">
        <v>1865</v>
      </c>
      <c r="BE91" s="5" t="str">
        <f>HYPERLINK("http://dx.doi.org/10.1002/aur.2352","http://dx.doi.org/10.1002/aur.2352")</f>
        <v>http://dx.doi.org/10.1002/aur.2352</v>
      </c>
      <c r="BF91" s="5" t="s">
        <v>21</v>
      </c>
      <c r="BG91" s="5" t="s">
        <v>1866</v>
      </c>
      <c r="BH91" s="5">
        <v>7</v>
      </c>
      <c r="BI91" s="5" t="s">
        <v>1299</v>
      </c>
      <c r="BJ91" s="5" t="s">
        <v>92</v>
      </c>
      <c r="BK91" s="5" t="s">
        <v>1300</v>
      </c>
      <c r="BL91" s="5" t="s">
        <v>1867</v>
      </c>
      <c r="BM91" s="5">
        <v>32762029</v>
      </c>
      <c r="BN91" s="5" t="s">
        <v>21</v>
      </c>
      <c r="BO91" s="5" t="s">
        <v>21</v>
      </c>
      <c r="BP91" s="5" t="s">
        <v>21</v>
      </c>
      <c r="BQ91" s="5" t="s">
        <v>49</v>
      </c>
      <c r="BR91" s="5" t="s">
        <v>1868</v>
      </c>
      <c r="BS91" s="5" t="str">
        <f>HYPERLINK("https%3A%2F%2Fwww.webofscience.com%2Fwos%2Fwoscc%2Ffull-record%2FWOS:000556022300001","View Full Record in Web of Science")</f>
        <v>View Full Record in Web of Science</v>
      </c>
    </row>
    <row r="92" spans="1:71" x14ac:dyDescent="0.25">
      <c r="A92" t="s">
        <v>19</v>
      </c>
      <c r="B92" s="5" t="s">
        <v>1869</v>
      </c>
      <c r="C92" s="5" t="s">
        <v>21</v>
      </c>
      <c r="D92" s="5" t="s">
        <v>21</v>
      </c>
      <c r="E92" s="5" t="s">
        <v>21</v>
      </c>
      <c r="F92" s="5" t="s">
        <v>1870</v>
      </c>
      <c r="G92" s="5" t="s">
        <v>21</v>
      </c>
      <c r="H92" s="5" t="s">
        <v>21</v>
      </c>
      <c r="I92" s="5" t="s">
        <v>1871</v>
      </c>
      <c r="J92" s="12" t="s">
        <v>1872</v>
      </c>
      <c r="K92" s="5" t="s">
        <v>21</v>
      </c>
      <c r="L92" s="5" t="s">
        <v>21</v>
      </c>
      <c r="M92" s="5" t="s">
        <v>25</v>
      </c>
      <c r="N92" s="5" t="s">
        <v>26</v>
      </c>
      <c r="O92" s="5" t="s">
        <v>21</v>
      </c>
      <c r="P92" s="5" t="s">
        <v>21</v>
      </c>
      <c r="Q92" s="5" t="s">
        <v>21</v>
      </c>
      <c r="R92" s="5" t="s">
        <v>21</v>
      </c>
      <c r="S92" s="5" t="s">
        <v>21</v>
      </c>
      <c r="T92" s="5" t="s">
        <v>21</v>
      </c>
      <c r="U92" s="5" t="s">
        <v>1873</v>
      </c>
      <c r="V92" s="5" t="s">
        <v>1874</v>
      </c>
      <c r="W92" s="5" t="s">
        <v>1875</v>
      </c>
      <c r="X92" s="5" t="s">
        <v>1876</v>
      </c>
      <c r="Y92" s="5" t="s">
        <v>1877</v>
      </c>
      <c r="Z92" s="5" t="s">
        <v>1878</v>
      </c>
      <c r="AA92" s="5" t="s">
        <v>21</v>
      </c>
      <c r="AB92" s="5" t="s">
        <v>1879</v>
      </c>
      <c r="AC92" s="5" t="s">
        <v>1880</v>
      </c>
      <c r="AD92" s="5" t="s">
        <v>1881</v>
      </c>
      <c r="AE92" s="5" t="s">
        <v>1882</v>
      </c>
      <c r="AF92" s="5">
        <v>31</v>
      </c>
      <c r="AG92" s="5">
        <v>39</v>
      </c>
      <c r="AH92" s="5">
        <v>44</v>
      </c>
      <c r="AI92" s="5">
        <v>2</v>
      </c>
      <c r="AJ92" s="5">
        <v>32</v>
      </c>
      <c r="AK92" s="5" t="s">
        <v>1883</v>
      </c>
      <c r="AL92" s="5" t="s">
        <v>1884</v>
      </c>
      <c r="AM92" s="5" t="s">
        <v>1885</v>
      </c>
      <c r="AN92" s="5" t="s">
        <v>1886</v>
      </c>
      <c r="AO92" s="5" t="s">
        <v>21</v>
      </c>
      <c r="AP92" s="5" t="s">
        <v>21</v>
      </c>
      <c r="AQ92" s="5" t="s">
        <v>1887</v>
      </c>
      <c r="AR92" s="5" t="s">
        <v>1888</v>
      </c>
      <c r="AS92" s="5" t="s">
        <v>116</v>
      </c>
      <c r="AT92" s="5">
        <v>2016</v>
      </c>
      <c r="AU92" s="5">
        <v>51</v>
      </c>
      <c r="AV92" s="5">
        <v>3</v>
      </c>
      <c r="AW92" s="5" t="s">
        <v>21</v>
      </c>
      <c r="AX92" s="5" t="s">
        <v>21</v>
      </c>
      <c r="AY92" s="5" t="s">
        <v>21</v>
      </c>
      <c r="AZ92" s="5" t="s">
        <v>21</v>
      </c>
      <c r="BA92" s="5">
        <v>307</v>
      </c>
      <c r="BB92" s="5">
        <v>317</v>
      </c>
      <c r="BC92" s="5" t="s">
        <v>21</v>
      </c>
      <c r="BD92" s="5" t="s">
        <v>21</v>
      </c>
      <c r="BE92" s="5" t="s">
        <v>21</v>
      </c>
      <c r="BF92" s="5" t="s">
        <v>21</v>
      </c>
      <c r="BG92" s="5" t="s">
        <v>21</v>
      </c>
      <c r="BH92" s="5">
        <v>11</v>
      </c>
      <c r="BI92" s="5" t="s">
        <v>887</v>
      </c>
      <c r="BJ92" s="5" t="s">
        <v>45</v>
      </c>
      <c r="BK92" s="5" t="s">
        <v>888</v>
      </c>
      <c r="BL92" s="5" t="s">
        <v>1889</v>
      </c>
      <c r="BM92" s="5">
        <v>28111607</v>
      </c>
      <c r="BN92" s="5" t="s">
        <v>21</v>
      </c>
      <c r="BO92" s="5" t="s">
        <v>21</v>
      </c>
      <c r="BP92" s="5" t="s">
        <v>21</v>
      </c>
      <c r="BQ92" s="5" t="s">
        <v>49</v>
      </c>
      <c r="BR92" s="5" t="s">
        <v>1890</v>
      </c>
      <c r="BS92" s="5" t="str">
        <f>HYPERLINK("https%3A%2F%2Fwww.webofscience.com%2Fwos%2Fwoscc%2Ffull-record%2FWOS:000381539300007","View Full Record in Web of Science")</f>
        <v>View Full Record in Web of Science</v>
      </c>
    </row>
    <row r="93" spans="1:71" x14ac:dyDescent="0.25">
      <c r="A93" t="s">
        <v>19</v>
      </c>
      <c r="B93" s="5" t="s">
        <v>1891</v>
      </c>
      <c r="C93" s="5" t="s">
        <v>21</v>
      </c>
      <c r="D93" s="5" t="s">
        <v>21</v>
      </c>
      <c r="E93" s="5" t="s">
        <v>21</v>
      </c>
      <c r="F93" s="5" t="s">
        <v>1892</v>
      </c>
      <c r="G93" s="5" t="s">
        <v>21</v>
      </c>
      <c r="H93" s="5" t="s">
        <v>21</v>
      </c>
      <c r="I93" s="5" t="s">
        <v>1893</v>
      </c>
      <c r="J93" s="12" t="s">
        <v>1894</v>
      </c>
      <c r="K93" s="5" t="s">
        <v>21</v>
      </c>
      <c r="L93" s="5" t="s">
        <v>21</v>
      </c>
      <c r="M93" s="5" t="s">
        <v>25</v>
      </c>
      <c r="N93" s="5" t="s">
        <v>26</v>
      </c>
      <c r="O93" s="5" t="s">
        <v>21</v>
      </c>
      <c r="P93" s="5" t="s">
        <v>21</v>
      </c>
      <c r="Q93" s="5" t="s">
        <v>21</v>
      </c>
      <c r="R93" s="5" t="s">
        <v>21</v>
      </c>
      <c r="S93" s="5" t="s">
        <v>21</v>
      </c>
      <c r="T93" s="5" t="s">
        <v>1895</v>
      </c>
      <c r="U93" s="5" t="s">
        <v>1896</v>
      </c>
      <c r="V93" s="5" t="s">
        <v>1897</v>
      </c>
      <c r="W93" s="5" t="s">
        <v>1898</v>
      </c>
      <c r="X93" s="5" t="s">
        <v>21</v>
      </c>
      <c r="Y93" s="5" t="s">
        <v>1899</v>
      </c>
      <c r="Z93" s="5" t="s">
        <v>1900</v>
      </c>
      <c r="AA93" s="5" t="s">
        <v>1901</v>
      </c>
      <c r="AB93" s="5" t="s">
        <v>1902</v>
      </c>
      <c r="AC93" s="5" t="s">
        <v>21</v>
      </c>
      <c r="AD93" s="5" t="s">
        <v>21</v>
      </c>
      <c r="AE93" s="5" t="s">
        <v>21</v>
      </c>
      <c r="AF93" s="5">
        <v>62</v>
      </c>
      <c r="AG93" s="5">
        <v>38</v>
      </c>
      <c r="AH93" s="5">
        <v>41</v>
      </c>
      <c r="AI93" s="5">
        <v>4</v>
      </c>
      <c r="AJ93" s="5">
        <v>74</v>
      </c>
      <c r="AK93" s="5" t="s">
        <v>193</v>
      </c>
      <c r="AL93" s="5" t="s">
        <v>194</v>
      </c>
      <c r="AM93" s="5" t="s">
        <v>195</v>
      </c>
      <c r="AN93" s="5" t="s">
        <v>21</v>
      </c>
      <c r="AO93" s="5" t="s">
        <v>1903</v>
      </c>
      <c r="AP93" s="5" t="s">
        <v>21</v>
      </c>
      <c r="AQ93" s="5" t="s">
        <v>1894</v>
      </c>
      <c r="AR93" s="5" t="s">
        <v>1904</v>
      </c>
      <c r="AS93" s="5" t="s">
        <v>199</v>
      </c>
      <c r="AT93" s="5">
        <v>2022</v>
      </c>
      <c r="AU93" s="5">
        <v>12</v>
      </c>
      <c r="AV93" s="5">
        <v>4</v>
      </c>
      <c r="AW93" s="5" t="s">
        <v>21</v>
      </c>
      <c r="AX93" s="5" t="s">
        <v>21</v>
      </c>
      <c r="AY93" s="5" t="s">
        <v>21</v>
      </c>
      <c r="AZ93" s="5" t="s">
        <v>21</v>
      </c>
      <c r="BA93" s="5" t="s">
        <v>21</v>
      </c>
      <c r="BB93" s="5" t="s">
        <v>21</v>
      </c>
      <c r="BC93" s="5">
        <v>102</v>
      </c>
      <c r="BD93" s="5" t="s">
        <v>1905</v>
      </c>
      <c r="BE93" s="5" t="str">
        <f>HYPERLINK("http://dx.doi.org/10.3390/soc12040102","http://dx.doi.org/10.3390/soc12040102")</f>
        <v>http://dx.doi.org/10.3390/soc12040102</v>
      </c>
      <c r="BF93" s="5" t="s">
        <v>21</v>
      </c>
      <c r="BG93" s="5" t="s">
        <v>21</v>
      </c>
      <c r="BH93" s="5">
        <v>7</v>
      </c>
      <c r="BI93" s="5" t="s">
        <v>1906</v>
      </c>
      <c r="BJ93" s="5" t="s">
        <v>1907</v>
      </c>
      <c r="BK93" s="5" t="s">
        <v>1906</v>
      </c>
      <c r="BL93" s="5" t="s">
        <v>1908</v>
      </c>
      <c r="BM93" s="5" t="s">
        <v>21</v>
      </c>
      <c r="BN93" s="5" t="s">
        <v>1909</v>
      </c>
      <c r="BO93" s="5" t="s">
        <v>21</v>
      </c>
      <c r="BP93" s="5" t="s">
        <v>21</v>
      </c>
      <c r="BQ93" s="5" t="s">
        <v>49</v>
      </c>
      <c r="BR93" s="5" t="s">
        <v>1910</v>
      </c>
      <c r="BS93" s="5" t="str">
        <f>HYPERLINK("https%3A%2F%2Fwww.webofscience.com%2Fwos%2Fwoscc%2Ffull-record%2FWOS:000845220200001","View Full Record in Web of Science")</f>
        <v>View Full Record in Web of Science</v>
      </c>
    </row>
    <row r="94" spans="1:71" x14ac:dyDescent="0.25">
      <c r="A94" t="s">
        <v>19</v>
      </c>
      <c r="B94" s="5" t="s">
        <v>1911</v>
      </c>
      <c r="C94" s="5" t="s">
        <v>21</v>
      </c>
      <c r="D94" s="5" t="s">
        <v>21</v>
      </c>
      <c r="E94" s="5" t="s">
        <v>21</v>
      </c>
      <c r="F94" s="5" t="s">
        <v>1912</v>
      </c>
      <c r="G94" s="5" t="s">
        <v>21</v>
      </c>
      <c r="H94" s="5" t="s">
        <v>21</v>
      </c>
      <c r="I94" s="5" t="s">
        <v>1913</v>
      </c>
      <c r="J94" s="12" t="s">
        <v>1914</v>
      </c>
      <c r="K94" s="5" t="s">
        <v>21</v>
      </c>
      <c r="L94" s="5" t="s">
        <v>21</v>
      </c>
      <c r="M94" s="5" t="s">
        <v>25</v>
      </c>
      <c r="N94" s="5" t="s">
        <v>76</v>
      </c>
      <c r="O94" s="5" t="s">
        <v>21</v>
      </c>
      <c r="P94" s="5" t="s">
        <v>21</v>
      </c>
      <c r="Q94" s="5" t="s">
        <v>21</v>
      </c>
      <c r="R94" s="5" t="s">
        <v>21</v>
      </c>
      <c r="S94" s="5" t="s">
        <v>21</v>
      </c>
      <c r="T94" s="5" t="s">
        <v>1915</v>
      </c>
      <c r="U94" s="5" t="s">
        <v>1916</v>
      </c>
      <c r="V94" s="5" t="s">
        <v>1917</v>
      </c>
      <c r="W94" s="5" t="s">
        <v>1918</v>
      </c>
      <c r="X94" s="5" t="s">
        <v>1919</v>
      </c>
      <c r="Y94" s="5" t="s">
        <v>1920</v>
      </c>
      <c r="Z94" s="5" t="s">
        <v>1921</v>
      </c>
      <c r="AA94" s="5" t="s">
        <v>1922</v>
      </c>
      <c r="AB94" s="5" t="s">
        <v>1923</v>
      </c>
      <c r="AC94" s="5" t="s">
        <v>21</v>
      </c>
      <c r="AD94" s="5" t="s">
        <v>21</v>
      </c>
      <c r="AE94" s="5" t="s">
        <v>21</v>
      </c>
      <c r="AF94" s="5">
        <v>64</v>
      </c>
      <c r="AG94" s="5">
        <v>37</v>
      </c>
      <c r="AH94" s="5">
        <v>37</v>
      </c>
      <c r="AI94" s="5">
        <v>16</v>
      </c>
      <c r="AJ94" s="5">
        <v>100</v>
      </c>
      <c r="AK94" s="5" t="s">
        <v>1924</v>
      </c>
      <c r="AL94" s="5" t="s">
        <v>1925</v>
      </c>
      <c r="AM94" s="5" t="s">
        <v>1926</v>
      </c>
      <c r="AN94" s="5" t="s">
        <v>1927</v>
      </c>
      <c r="AO94" s="5" t="s">
        <v>1928</v>
      </c>
      <c r="AP94" s="5" t="s">
        <v>21</v>
      </c>
      <c r="AQ94" s="5" t="s">
        <v>1929</v>
      </c>
      <c r="AR94" s="5" t="s">
        <v>1930</v>
      </c>
      <c r="AS94" s="5" t="s">
        <v>42</v>
      </c>
      <c r="AT94" s="5">
        <v>2021</v>
      </c>
      <c r="AU94" s="5">
        <v>295</v>
      </c>
      <c r="AV94" s="5" t="s">
        <v>21</v>
      </c>
      <c r="AW94" s="5" t="s">
        <v>21</v>
      </c>
      <c r="AX94" s="5" t="s">
        <v>21</v>
      </c>
      <c r="AY94" s="5" t="s">
        <v>21</v>
      </c>
      <c r="AZ94" s="5" t="s">
        <v>21</v>
      </c>
      <c r="BA94" s="5" t="s">
        <v>21</v>
      </c>
      <c r="BB94" s="5" t="s">
        <v>21</v>
      </c>
      <c r="BC94" s="5">
        <v>113585</v>
      </c>
      <c r="BD94" s="5" t="s">
        <v>1931</v>
      </c>
      <c r="BE94" s="5" t="str">
        <f>HYPERLINK("http://dx.doi.org/10.1016/j.psychres.2020.113585","http://dx.doi.org/10.1016/j.psychres.2020.113585")</f>
        <v>http://dx.doi.org/10.1016/j.psychres.2020.113585</v>
      </c>
      <c r="BF94" s="5" t="s">
        <v>21</v>
      </c>
      <c r="BG94" s="5" t="s">
        <v>21</v>
      </c>
      <c r="BH94" s="5">
        <v>8</v>
      </c>
      <c r="BI94" s="5" t="s">
        <v>161</v>
      </c>
      <c r="BJ94" s="5" t="s">
        <v>92</v>
      </c>
      <c r="BK94" s="5" t="s">
        <v>161</v>
      </c>
      <c r="BL94" s="5" t="s">
        <v>1932</v>
      </c>
      <c r="BM94" s="5">
        <v>33303223</v>
      </c>
      <c r="BN94" s="5" t="s">
        <v>21</v>
      </c>
      <c r="BO94" s="5" t="s">
        <v>21</v>
      </c>
      <c r="BP94" s="5" t="s">
        <v>21</v>
      </c>
      <c r="BQ94" s="5" t="s">
        <v>49</v>
      </c>
      <c r="BR94" s="5" t="s">
        <v>1933</v>
      </c>
      <c r="BS94" s="5" t="str">
        <f>HYPERLINK("https%3A%2F%2Fwww.webofscience.com%2Fwos%2Fwoscc%2Ffull-record%2FWOS:000613510500034","View Full Record in Web of Science")</f>
        <v>View Full Record in Web of Science</v>
      </c>
    </row>
    <row r="95" spans="1:71" x14ac:dyDescent="0.25">
      <c r="A95" t="s">
        <v>19</v>
      </c>
      <c r="B95" s="5" t="s">
        <v>1934</v>
      </c>
      <c r="C95" s="5" t="s">
        <v>21</v>
      </c>
      <c r="D95" s="5" t="s">
        <v>21</v>
      </c>
      <c r="E95" s="5" t="s">
        <v>21</v>
      </c>
      <c r="F95" s="5" t="s">
        <v>1935</v>
      </c>
      <c r="G95" s="5" t="s">
        <v>21</v>
      </c>
      <c r="H95" s="5" t="s">
        <v>21</v>
      </c>
      <c r="I95" s="5" t="s">
        <v>1936</v>
      </c>
      <c r="J95" s="12" t="s">
        <v>916</v>
      </c>
      <c r="K95" s="5" t="s">
        <v>21</v>
      </c>
      <c r="L95" s="5" t="s">
        <v>21</v>
      </c>
      <c r="M95" s="5" t="s">
        <v>25</v>
      </c>
      <c r="N95" s="5" t="s">
        <v>26</v>
      </c>
      <c r="O95" s="5" t="s">
        <v>21</v>
      </c>
      <c r="P95" s="5" t="s">
        <v>21</v>
      </c>
      <c r="Q95" s="5" t="s">
        <v>21</v>
      </c>
      <c r="R95" s="5" t="s">
        <v>21</v>
      </c>
      <c r="S95" s="5" t="s">
        <v>21</v>
      </c>
      <c r="T95" s="5" t="s">
        <v>1937</v>
      </c>
      <c r="U95" s="5" t="s">
        <v>1938</v>
      </c>
      <c r="V95" s="5" t="s">
        <v>1939</v>
      </c>
      <c r="W95" s="5" t="s">
        <v>1940</v>
      </c>
      <c r="X95" s="5" t="s">
        <v>1941</v>
      </c>
      <c r="Y95" s="5" t="s">
        <v>1942</v>
      </c>
      <c r="Z95" s="5" t="s">
        <v>1943</v>
      </c>
      <c r="AA95" s="5" t="s">
        <v>1944</v>
      </c>
      <c r="AB95" s="5" t="s">
        <v>1945</v>
      </c>
      <c r="AC95" s="5" t="s">
        <v>1946</v>
      </c>
      <c r="AD95" s="5" t="s">
        <v>1947</v>
      </c>
      <c r="AE95" s="5" t="s">
        <v>1948</v>
      </c>
      <c r="AF95" s="5">
        <v>48</v>
      </c>
      <c r="AG95" s="5">
        <v>36</v>
      </c>
      <c r="AH95" s="5">
        <v>41</v>
      </c>
      <c r="AI95" s="5">
        <v>5</v>
      </c>
      <c r="AJ95" s="5">
        <v>82</v>
      </c>
      <c r="AK95" s="5" t="s">
        <v>659</v>
      </c>
      <c r="AL95" s="5" t="s">
        <v>660</v>
      </c>
      <c r="AM95" s="5" t="s">
        <v>661</v>
      </c>
      <c r="AN95" s="5" t="s">
        <v>928</v>
      </c>
      <c r="AO95" s="5" t="s">
        <v>929</v>
      </c>
      <c r="AP95" s="5" t="s">
        <v>21</v>
      </c>
      <c r="AQ95" s="5" t="s">
        <v>930</v>
      </c>
      <c r="AR95" s="5" t="s">
        <v>931</v>
      </c>
      <c r="AS95" s="5" t="s">
        <v>782</v>
      </c>
      <c r="AT95" s="5">
        <v>2019</v>
      </c>
      <c r="AU95" s="5">
        <v>66</v>
      </c>
      <c r="AV95" s="5">
        <v>4</v>
      </c>
      <c r="AW95" s="5" t="s">
        <v>21</v>
      </c>
      <c r="AX95" s="5" t="s">
        <v>21</v>
      </c>
      <c r="AY95" s="5" t="s">
        <v>21</v>
      </c>
      <c r="AZ95" s="5" t="s">
        <v>21</v>
      </c>
      <c r="BA95" s="5">
        <v>1137</v>
      </c>
      <c r="BB95" s="5">
        <v>1147</v>
      </c>
      <c r="BC95" s="5" t="s">
        <v>21</v>
      </c>
      <c r="BD95" s="5" t="s">
        <v>1949</v>
      </c>
      <c r="BE95" s="5" t="str">
        <f>HYPERLINK("http://dx.doi.org/10.1109/TBME.2018.2868759","http://dx.doi.org/10.1109/TBME.2018.2868759")</f>
        <v>http://dx.doi.org/10.1109/TBME.2018.2868759</v>
      </c>
      <c r="BF95" s="5" t="s">
        <v>21</v>
      </c>
      <c r="BG95" s="5" t="s">
        <v>21</v>
      </c>
      <c r="BH95" s="5">
        <v>11</v>
      </c>
      <c r="BI95" s="5" t="s">
        <v>933</v>
      </c>
      <c r="BJ95" s="5" t="s">
        <v>524</v>
      </c>
      <c r="BK95" s="5" t="s">
        <v>934</v>
      </c>
      <c r="BL95" s="5" t="s">
        <v>1950</v>
      </c>
      <c r="BM95" s="5">
        <v>30188809</v>
      </c>
      <c r="BN95" s="5" t="s">
        <v>95</v>
      </c>
      <c r="BO95" s="5" t="s">
        <v>21</v>
      </c>
      <c r="BP95" s="5" t="s">
        <v>21</v>
      </c>
      <c r="BQ95" s="5" t="s">
        <v>49</v>
      </c>
      <c r="BR95" s="5" t="s">
        <v>1951</v>
      </c>
      <c r="BS95" s="5" t="str">
        <f>HYPERLINK("https%3A%2F%2Fwww.webofscience.com%2Fwos%2Fwoscc%2Ffull-record%2FWOS:000462363300023","View Full Record in Web of Science")</f>
        <v>View Full Record in Web of Science</v>
      </c>
    </row>
    <row r="96" spans="1:71" x14ac:dyDescent="0.25">
      <c r="A96" t="s">
        <v>19</v>
      </c>
      <c r="B96" s="5" t="s">
        <v>1952</v>
      </c>
      <c r="C96" s="5" t="s">
        <v>21</v>
      </c>
      <c r="D96" s="5" t="s">
        <v>21</v>
      </c>
      <c r="E96" s="5" t="s">
        <v>21</v>
      </c>
      <c r="F96" s="5" t="s">
        <v>1953</v>
      </c>
      <c r="G96" s="5" t="s">
        <v>21</v>
      </c>
      <c r="H96" s="5" t="s">
        <v>21</v>
      </c>
      <c r="I96" s="5" t="s">
        <v>1954</v>
      </c>
      <c r="J96" s="12" t="s">
        <v>1955</v>
      </c>
      <c r="K96" s="5" t="s">
        <v>21</v>
      </c>
      <c r="L96" s="5" t="s">
        <v>21</v>
      </c>
      <c r="M96" s="5" t="s">
        <v>25</v>
      </c>
      <c r="N96" s="5" t="s">
        <v>26</v>
      </c>
      <c r="O96" s="5" t="s">
        <v>21</v>
      </c>
      <c r="P96" s="5" t="s">
        <v>21</v>
      </c>
      <c r="Q96" s="5" t="s">
        <v>21</v>
      </c>
      <c r="R96" s="5" t="s">
        <v>21</v>
      </c>
      <c r="S96" s="5" t="s">
        <v>21</v>
      </c>
      <c r="T96" s="5" t="s">
        <v>1956</v>
      </c>
      <c r="U96" s="5" t="s">
        <v>21</v>
      </c>
      <c r="V96" s="5" t="s">
        <v>1957</v>
      </c>
      <c r="W96" s="5" t="s">
        <v>1958</v>
      </c>
      <c r="X96" s="5" t="s">
        <v>1959</v>
      </c>
      <c r="Y96" s="5" t="s">
        <v>1960</v>
      </c>
      <c r="Z96" s="5" t="s">
        <v>1961</v>
      </c>
      <c r="AA96" s="5" t="s">
        <v>21</v>
      </c>
      <c r="AB96" s="5" t="s">
        <v>1962</v>
      </c>
      <c r="AC96" s="5" t="s">
        <v>1963</v>
      </c>
      <c r="AD96" s="5" t="s">
        <v>1964</v>
      </c>
      <c r="AE96" s="5" t="s">
        <v>1965</v>
      </c>
      <c r="AF96" s="5">
        <v>15</v>
      </c>
      <c r="AG96" s="5">
        <v>36</v>
      </c>
      <c r="AH96" s="5">
        <v>38</v>
      </c>
      <c r="AI96" s="5">
        <v>3</v>
      </c>
      <c r="AJ96" s="5">
        <v>34</v>
      </c>
      <c r="AK96" s="5" t="s">
        <v>1924</v>
      </c>
      <c r="AL96" s="5" t="s">
        <v>1925</v>
      </c>
      <c r="AM96" s="5" t="s">
        <v>1926</v>
      </c>
      <c r="AN96" s="5" t="s">
        <v>1966</v>
      </c>
      <c r="AO96" s="5" t="s">
        <v>1967</v>
      </c>
      <c r="AP96" s="5" t="s">
        <v>21</v>
      </c>
      <c r="AQ96" s="5" t="s">
        <v>1968</v>
      </c>
      <c r="AR96" s="5" t="s">
        <v>1969</v>
      </c>
      <c r="AS96" s="5" t="s">
        <v>42</v>
      </c>
      <c r="AT96" s="5">
        <v>2019</v>
      </c>
      <c r="AU96" s="5">
        <v>67</v>
      </c>
      <c r="AV96" s="5" t="s">
        <v>21</v>
      </c>
      <c r="AW96" s="5" t="s">
        <v>21</v>
      </c>
      <c r="AX96" s="5" t="s">
        <v>21</v>
      </c>
      <c r="AY96" s="5" t="s">
        <v>21</v>
      </c>
      <c r="AZ96" s="5" t="s">
        <v>21</v>
      </c>
      <c r="BA96" s="5">
        <v>9</v>
      </c>
      <c r="BB96" s="5">
        <v>11</v>
      </c>
      <c r="BC96" s="5" t="s">
        <v>21</v>
      </c>
      <c r="BD96" s="5" t="s">
        <v>1970</v>
      </c>
      <c r="BE96" s="5" t="str">
        <f>HYPERLINK("http://dx.doi.org/10.1016/j.gaitpost.2018.08.038","http://dx.doi.org/10.1016/j.gaitpost.2018.08.038")</f>
        <v>http://dx.doi.org/10.1016/j.gaitpost.2018.08.038</v>
      </c>
      <c r="BF96" s="5" t="s">
        <v>21</v>
      </c>
      <c r="BG96" s="5" t="s">
        <v>21</v>
      </c>
      <c r="BH96" s="5">
        <v>3</v>
      </c>
      <c r="BI96" s="5" t="s">
        <v>1971</v>
      </c>
      <c r="BJ96" s="5" t="s">
        <v>92</v>
      </c>
      <c r="BK96" s="5" t="s">
        <v>1972</v>
      </c>
      <c r="BL96" s="5" t="s">
        <v>1973</v>
      </c>
      <c r="BM96" s="5">
        <v>30245240</v>
      </c>
      <c r="BN96" s="5" t="s">
        <v>137</v>
      </c>
      <c r="BO96" s="5" t="s">
        <v>21</v>
      </c>
      <c r="BP96" s="5" t="s">
        <v>21</v>
      </c>
      <c r="BQ96" s="5" t="s">
        <v>49</v>
      </c>
      <c r="BR96" s="5" t="s">
        <v>1974</v>
      </c>
      <c r="BS96" s="5" t="str">
        <f>HYPERLINK("https%3A%2F%2Fwww.webofscience.com%2Fwos%2Fwoscc%2Ffull-record%2FWOS:000450182400002","View Full Record in Web of Science")</f>
        <v>View Full Record in Web of Science</v>
      </c>
    </row>
    <row r="97" spans="1:71" x14ac:dyDescent="0.25">
      <c r="A97" t="s">
        <v>19</v>
      </c>
      <c r="B97" s="5" t="s">
        <v>1975</v>
      </c>
      <c r="C97" s="5" t="s">
        <v>21</v>
      </c>
      <c r="D97" s="5" t="s">
        <v>21</v>
      </c>
      <c r="E97" s="5" t="s">
        <v>21</v>
      </c>
      <c r="F97" s="5" t="s">
        <v>1976</v>
      </c>
      <c r="G97" s="5" t="s">
        <v>21</v>
      </c>
      <c r="H97" s="5" t="s">
        <v>21</v>
      </c>
      <c r="I97" s="5" t="s">
        <v>1977</v>
      </c>
      <c r="J97" s="12" t="s">
        <v>1978</v>
      </c>
      <c r="K97" s="5" t="s">
        <v>21</v>
      </c>
      <c r="L97" s="5" t="s">
        <v>21</v>
      </c>
      <c r="M97" s="5" t="s">
        <v>25</v>
      </c>
      <c r="N97" s="5" t="s">
        <v>26</v>
      </c>
      <c r="O97" s="5" t="s">
        <v>21</v>
      </c>
      <c r="P97" s="5" t="s">
        <v>21</v>
      </c>
      <c r="Q97" s="5" t="s">
        <v>21</v>
      </c>
      <c r="R97" s="5" t="s">
        <v>21</v>
      </c>
      <c r="S97" s="5" t="s">
        <v>21</v>
      </c>
      <c r="T97" s="5" t="s">
        <v>21</v>
      </c>
      <c r="U97" s="5" t="s">
        <v>1979</v>
      </c>
      <c r="V97" s="5" t="s">
        <v>1980</v>
      </c>
      <c r="W97" s="5" t="s">
        <v>1981</v>
      </c>
      <c r="X97" s="5" t="s">
        <v>874</v>
      </c>
      <c r="Y97" s="5" t="s">
        <v>1982</v>
      </c>
      <c r="Z97" s="5" t="s">
        <v>490</v>
      </c>
      <c r="AA97" s="5" t="s">
        <v>1983</v>
      </c>
      <c r="AB97" s="5" t="s">
        <v>1984</v>
      </c>
      <c r="AC97" s="5" t="s">
        <v>1985</v>
      </c>
      <c r="AD97" s="5" t="s">
        <v>1985</v>
      </c>
      <c r="AE97" s="5" t="s">
        <v>1986</v>
      </c>
      <c r="AF97" s="5">
        <v>38</v>
      </c>
      <c r="AG97" s="5">
        <v>36</v>
      </c>
      <c r="AH97" s="5">
        <v>47</v>
      </c>
      <c r="AI97" s="5">
        <v>2</v>
      </c>
      <c r="AJ97" s="5">
        <v>50</v>
      </c>
      <c r="AK97" s="5" t="s">
        <v>1292</v>
      </c>
      <c r="AL97" s="5" t="s">
        <v>252</v>
      </c>
      <c r="AM97" s="5" t="s">
        <v>1293</v>
      </c>
      <c r="AN97" s="5" t="s">
        <v>1987</v>
      </c>
      <c r="AO97" s="5" t="s">
        <v>1988</v>
      </c>
      <c r="AP97" s="5" t="s">
        <v>21</v>
      </c>
      <c r="AQ97" s="5" t="s">
        <v>1989</v>
      </c>
      <c r="AR97" s="5" t="s">
        <v>1990</v>
      </c>
      <c r="AS97" s="5" t="s">
        <v>290</v>
      </c>
      <c r="AT97" s="5">
        <v>2018</v>
      </c>
      <c r="AU97" s="5">
        <v>49</v>
      </c>
      <c r="AV97" s="5">
        <v>4</v>
      </c>
      <c r="AW97" s="5" t="s">
        <v>21</v>
      </c>
      <c r="AX97" s="5" t="s">
        <v>21</v>
      </c>
      <c r="AY97" s="5" t="s">
        <v>501</v>
      </c>
      <c r="AZ97" s="5" t="s">
        <v>21</v>
      </c>
      <c r="BA97" s="5">
        <v>728</v>
      </c>
      <c r="BB97" s="5">
        <v>741</v>
      </c>
      <c r="BC97" s="5" t="s">
        <v>21</v>
      </c>
      <c r="BD97" s="5" t="s">
        <v>1991</v>
      </c>
      <c r="BE97" s="5" t="str">
        <f>HYPERLINK("http://dx.doi.org/10.1111/bjet.12626","http://dx.doi.org/10.1111/bjet.12626")</f>
        <v>http://dx.doi.org/10.1111/bjet.12626</v>
      </c>
      <c r="BF97" s="5" t="s">
        <v>21</v>
      </c>
      <c r="BG97" s="5" t="s">
        <v>21</v>
      </c>
      <c r="BH97" s="5">
        <v>14</v>
      </c>
      <c r="BI97" s="5" t="s">
        <v>503</v>
      </c>
      <c r="BJ97" s="5" t="s">
        <v>45</v>
      </c>
      <c r="BK97" s="5" t="s">
        <v>503</v>
      </c>
      <c r="BL97" s="5" t="s">
        <v>1992</v>
      </c>
      <c r="BM97" s="5" t="s">
        <v>21</v>
      </c>
      <c r="BN97" s="5" t="s">
        <v>21</v>
      </c>
      <c r="BO97" s="5" t="s">
        <v>21</v>
      </c>
      <c r="BP97" s="5" t="s">
        <v>21</v>
      </c>
      <c r="BQ97" s="5" t="s">
        <v>49</v>
      </c>
      <c r="BR97" s="5" t="s">
        <v>1993</v>
      </c>
      <c r="BS97" s="5" t="str">
        <f>HYPERLINK("https%3A%2F%2Fwww.webofscience.com%2Fwos%2Fwoscc%2Ffull-record%2FWOS:000440136700012","View Full Record in Web of Science")</f>
        <v>View Full Record in Web of Science</v>
      </c>
    </row>
    <row r="98" spans="1:71" x14ac:dyDescent="0.25">
      <c r="A98" t="s">
        <v>19</v>
      </c>
      <c r="B98" s="5" t="s">
        <v>1725</v>
      </c>
      <c r="C98" s="5" t="s">
        <v>21</v>
      </c>
      <c r="D98" s="5" t="s">
        <v>21</v>
      </c>
      <c r="E98" s="5" t="s">
        <v>21</v>
      </c>
      <c r="F98" s="5" t="s">
        <v>1726</v>
      </c>
      <c r="G98" s="5" t="s">
        <v>21</v>
      </c>
      <c r="H98" s="5" t="s">
        <v>21</v>
      </c>
      <c r="I98" s="5" t="s">
        <v>1994</v>
      </c>
      <c r="J98" s="12" t="s">
        <v>1279</v>
      </c>
      <c r="K98" s="5" t="s">
        <v>21</v>
      </c>
      <c r="L98" s="5" t="s">
        <v>21</v>
      </c>
      <c r="M98" s="5" t="s">
        <v>25</v>
      </c>
      <c r="N98" s="5" t="s">
        <v>26</v>
      </c>
      <c r="O98" s="5" t="s">
        <v>21</v>
      </c>
      <c r="P98" s="5" t="s">
        <v>21</v>
      </c>
      <c r="Q98" s="5" t="s">
        <v>21</v>
      </c>
      <c r="R98" s="5" t="s">
        <v>21</v>
      </c>
      <c r="S98" s="5" t="s">
        <v>21</v>
      </c>
      <c r="T98" s="5" t="s">
        <v>1995</v>
      </c>
      <c r="U98" s="5" t="s">
        <v>1996</v>
      </c>
      <c r="V98" s="5" t="s">
        <v>1997</v>
      </c>
      <c r="W98" s="5" t="s">
        <v>1998</v>
      </c>
      <c r="X98" s="5" t="s">
        <v>1999</v>
      </c>
      <c r="Y98" s="5" t="s">
        <v>2000</v>
      </c>
      <c r="Z98" s="5" t="s">
        <v>1735</v>
      </c>
      <c r="AA98" s="5" t="s">
        <v>1736</v>
      </c>
      <c r="AB98" s="5" t="s">
        <v>1737</v>
      </c>
      <c r="AC98" s="5" t="s">
        <v>2001</v>
      </c>
      <c r="AD98" s="5" t="s">
        <v>2002</v>
      </c>
      <c r="AE98" s="5" t="s">
        <v>2003</v>
      </c>
      <c r="AF98" s="5">
        <v>77</v>
      </c>
      <c r="AG98" s="5">
        <v>36</v>
      </c>
      <c r="AH98" s="5">
        <v>39</v>
      </c>
      <c r="AI98" s="5">
        <v>11</v>
      </c>
      <c r="AJ98" s="5">
        <v>83</v>
      </c>
      <c r="AK98" s="5" t="s">
        <v>1292</v>
      </c>
      <c r="AL98" s="5" t="s">
        <v>252</v>
      </c>
      <c r="AM98" s="5" t="s">
        <v>1293</v>
      </c>
      <c r="AN98" s="5" t="s">
        <v>1294</v>
      </c>
      <c r="AO98" s="5" t="s">
        <v>1295</v>
      </c>
      <c r="AP98" s="5" t="s">
        <v>21</v>
      </c>
      <c r="AQ98" s="5" t="s">
        <v>1296</v>
      </c>
      <c r="AR98" s="5" t="s">
        <v>1297</v>
      </c>
      <c r="AS98" s="5" t="s">
        <v>69</v>
      </c>
      <c r="AT98" s="5">
        <v>2018</v>
      </c>
      <c r="AU98" s="5">
        <v>11</v>
      </c>
      <c r="AV98" s="5">
        <v>5</v>
      </c>
      <c r="AW98" s="5" t="s">
        <v>21</v>
      </c>
      <c r="AX98" s="5" t="s">
        <v>21</v>
      </c>
      <c r="AY98" s="5" t="s">
        <v>21</v>
      </c>
      <c r="AZ98" s="5" t="s">
        <v>21</v>
      </c>
      <c r="BA98" s="5">
        <v>713</v>
      </c>
      <c r="BB98" s="5">
        <v>725</v>
      </c>
      <c r="BC98" s="5" t="s">
        <v>21</v>
      </c>
      <c r="BD98" s="5" t="s">
        <v>2004</v>
      </c>
      <c r="BE98" s="5" t="str">
        <f>HYPERLINK("http://dx.doi.org/10.1002/aur.1941","http://dx.doi.org/10.1002/aur.1941")</f>
        <v>http://dx.doi.org/10.1002/aur.1941</v>
      </c>
      <c r="BF98" s="5" t="s">
        <v>21</v>
      </c>
      <c r="BG98" s="5" t="s">
        <v>21</v>
      </c>
      <c r="BH98" s="5">
        <v>13</v>
      </c>
      <c r="BI98" s="5" t="s">
        <v>1299</v>
      </c>
      <c r="BJ98" s="5" t="s">
        <v>92</v>
      </c>
      <c r="BK98" s="5" t="s">
        <v>1300</v>
      </c>
      <c r="BL98" s="5" t="s">
        <v>2005</v>
      </c>
      <c r="BM98" s="5">
        <v>29517857</v>
      </c>
      <c r="BN98" s="5" t="s">
        <v>1076</v>
      </c>
      <c r="BO98" s="5" t="s">
        <v>21</v>
      </c>
      <c r="BP98" s="5" t="s">
        <v>21</v>
      </c>
      <c r="BQ98" s="5" t="s">
        <v>49</v>
      </c>
      <c r="BR98" s="5" t="s">
        <v>2006</v>
      </c>
      <c r="BS98" s="5" t="str">
        <f>HYPERLINK("https%3A%2F%2Fwww.webofscience.com%2Fwos%2Fwoscc%2Ffull-record%2FWOS:000434059700004","View Full Record in Web of Science")</f>
        <v>View Full Record in Web of Science</v>
      </c>
    </row>
    <row r="99" spans="1:71" x14ac:dyDescent="0.25">
      <c r="A99" t="s">
        <v>19</v>
      </c>
      <c r="B99" s="5" t="s">
        <v>2007</v>
      </c>
      <c r="C99" s="5" t="s">
        <v>21</v>
      </c>
      <c r="D99" s="5" t="s">
        <v>21</v>
      </c>
      <c r="E99" s="5" t="s">
        <v>21</v>
      </c>
      <c r="F99" s="5" t="s">
        <v>2008</v>
      </c>
      <c r="G99" s="5" t="s">
        <v>21</v>
      </c>
      <c r="H99" s="5" t="s">
        <v>21</v>
      </c>
      <c r="I99" s="5" t="s">
        <v>2009</v>
      </c>
      <c r="J99" s="12" t="s">
        <v>2010</v>
      </c>
      <c r="K99" s="5" t="s">
        <v>21</v>
      </c>
      <c r="L99" s="5" t="s">
        <v>21</v>
      </c>
      <c r="M99" s="5" t="s">
        <v>25</v>
      </c>
      <c r="N99" s="5" t="s">
        <v>26</v>
      </c>
      <c r="O99" s="5" t="s">
        <v>21</v>
      </c>
      <c r="P99" s="5" t="s">
        <v>21</v>
      </c>
      <c r="Q99" s="5" t="s">
        <v>21</v>
      </c>
      <c r="R99" s="5" t="s">
        <v>21</v>
      </c>
      <c r="S99" s="5" t="s">
        <v>21</v>
      </c>
      <c r="T99" s="5" t="s">
        <v>2011</v>
      </c>
      <c r="U99" s="5" t="s">
        <v>2012</v>
      </c>
      <c r="V99" s="5" t="s">
        <v>2013</v>
      </c>
      <c r="W99" s="5" t="s">
        <v>2014</v>
      </c>
      <c r="X99" s="5" t="s">
        <v>2015</v>
      </c>
      <c r="Y99" s="5" t="s">
        <v>2016</v>
      </c>
      <c r="Z99" s="5" t="s">
        <v>2017</v>
      </c>
      <c r="AA99" s="5" t="s">
        <v>1451</v>
      </c>
      <c r="AB99" s="5" t="s">
        <v>1572</v>
      </c>
      <c r="AC99" s="5" t="s">
        <v>21</v>
      </c>
      <c r="AD99" s="5" t="s">
        <v>21</v>
      </c>
      <c r="AE99" s="5" t="s">
        <v>21</v>
      </c>
      <c r="AF99" s="5">
        <v>127</v>
      </c>
      <c r="AG99" s="5">
        <v>35</v>
      </c>
      <c r="AH99" s="5">
        <v>37</v>
      </c>
      <c r="AI99" s="5">
        <v>3</v>
      </c>
      <c r="AJ99" s="5">
        <v>32</v>
      </c>
      <c r="AK99" s="5" t="s">
        <v>904</v>
      </c>
      <c r="AL99" s="5" t="s">
        <v>36</v>
      </c>
      <c r="AM99" s="5" t="s">
        <v>905</v>
      </c>
      <c r="AN99" s="5" t="s">
        <v>2018</v>
      </c>
      <c r="AO99" s="5" t="s">
        <v>2019</v>
      </c>
      <c r="AP99" s="5" t="s">
        <v>21</v>
      </c>
      <c r="AQ99" s="5" t="s">
        <v>2020</v>
      </c>
      <c r="AR99" s="5" t="s">
        <v>2021</v>
      </c>
      <c r="AS99" s="5" t="s">
        <v>89</v>
      </c>
      <c r="AT99" s="5">
        <v>2021</v>
      </c>
      <c r="AU99" s="5">
        <v>69</v>
      </c>
      <c r="AV99" s="5">
        <v>3</v>
      </c>
      <c r="AW99" s="5" t="s">
        <v>21</v>
      </c>
      <c r="AX99" s="5" t="s">
        <v>21</v>
      </c>
      <c r="AY99" s="5" t="s">
        <v>21</v>
      </c>
      <c r="AZ99" s="5" t="s">
        <v>21</v>
      </c>
      <c r="BA99" s="5">
        <v>1665</v>
      </c>
      <c r="BB99" s="5">
        <v>1699</v>
      </c>
      <c r="BC99" s="5" t="s">
        <v>21</v>
      </c>
      <c r="BD99" s="5" t="s">
        <v>2022</v>
      </c>
      <c r="BE99" s="5" t="str">
        <f>HYPERLINK("http://dx.doi.org/10.1007/s11423-021-10005-8","http://dx.doi.org/10.1007/s11423-021-10005-8")</f>
        <v>http://dx.doi.org/10.1007/s11423-021-10005-8</v>
      </c>
      <c r="BF99" s="5" t="s">
        <v>21</v>
      </c>
      <c r="BG99" s="5" t="s">
        <v>2023</v>
      </c>
      <c r="BH99" s="5">
        <v>35</v>
      </c>
      <c r="BI99" s="5" t="s">
        <v>503</v>
      </c>
      <c r="BJ99" s="5" t="s">
        <v>45</v>
      </c>
      <c r="BK99" s="5" t="s">
        <v>503</v>
      </c>
      <c r="BL99" s="5" t="s">
        <v>2024</v>
      </c>
      <c r="BM99" s="5" t="s">
        <v>21</v>
      </c>
      <c r="BN99" s="5" t="s">
        <v>21</v>
      </c>
      <c r="BO99" s="5" t="s">
        <v>21</v>
      </c>
      <c r="BP99" s="5" t="s">
        <v>21</v>
      </c>
      <c r="BQ99" s="5" t="s">
        <v>49</v>
      </c>
      <c r="BR99" s="5" t="s">
        <v>2025</v>
      </c>
      <c r="BS99" s="5" t="str">
        <f>HYPERLINK("https%3A%2F%2Fwww.webofscience.com%2Fwos%2Fwoscc%2Ffull-record%2FWOS:000658588400001","View Full Record in Web of Science")</f>
        <v>View Full Record in Web of Science</v>
      </c>
    </row>
    <row r="100" spans="1:71" x14ac:dyDescent="0.25">
      <c r="A100" t="s">
        <v>19</v>
      </c>
      <c r="B100" s="5" t="s">
        <v>2026</v>
      </c>
      <c r="C100" s="5" t="s">
        <v>21</v>
      </c>
      <c r="D100" s="5" t="s">
        <v>21</v>
      </c>
      <c r="E100" s="5" t="s">
        <v>21</v>
      </c>
      <c r="F100" s="5" t="s">
        <v>2027</v>
      </c>
      <c r="G100" s="5" t="s">
        <v>21</v>
      </c>
      <c r="H100" s="5" t="s">
        <v>21</v>
      </c>
      <c r="I100" s="5" t="s">
        <v>2028</v>
      </c>
      <c r="J100" s="12" t="s">
        <v>2029</v>
      </c>
      <c r="K100" s="5" t="s">
        <v>21</v>
      </c>
      <c r="L100" s="5" t="s">
        <v>21</v>
      </c>
      <c r="M100" s="5" t="s">
        <v>25</v>
      </c>
      <c r="N100" s="5" t="s">
        <v>26</v>
      </c>
      <c r="O100" s="5" t="s">
        <v>21</v>
      </c>
      <c r="P100" s="5" t="s">
        <v>21</v>
      </c>
      <c r="Q100" s="5" t="s">
        <v>21</v>
      </c>
      <c r="R100" s="5" t="s">
        <v>21</v>
      </c>
      <c r="S100" s="5" t="s">
        <v>21</v>
      </c>
      <c r="T100" s="5" t="s">
        <v>2030</v>
      </c>
      <c r="U100" s="5" t="s">
        <v>2031</v>
      </c>
      <c r="V100" s="5" t="s">
        <v>2032</v>
      </c>
      <c r="W100" s="5" t="s">
        <v>2033</v>
      </c>
      <c r="X100" s="5" t="s">
        <v>2034</v>
      </c>
      <c r="Y100" s="5" t="s">
        <v>2035</v>
      </c>
      <c r="Z100" s="5" t="s">
        <v>2036</v>
      </c>
      <c r="AA100" s="5" t="s">
        <v>21</v>
      </c>
      <c r="AB100" s="5" t="s">
        <v>2037</v>
      </c>
      <c r="AC100" s="5" t="s">
        <v>21</v>
      </c>
      <c r="AD100" s="5" t="s">
        <v>21</v>
      </c>
      <c r="AE100" s="5" t="s">
        <v>21</v>
      </c>
      <c r="AF100" s="5">
        <v>18</v>
      </c>
      <c r="AG100" s="5">
        <v>35</v>
      </c>
      <c r="AH100" s="5">
        <v>37</v>
      </c>
      <c r="AI100" s="5">
        <v>1</v>
      </c>
      <c r="AJ100" s="5">
        <v>44</v>
      </c>
      <c r="AK100" s="5" t="s">
        <v>1292</v>
      </c>
      <c r="AL100" s="5" t="s">
        <v>252</v>
      </c>
      <c r="AM100" s="5" t="s">
        <v>1293</v>
      </c>
      <c r="AN100" s="5" t="s">
        <v>2038</v>
      </c>
      <c r="AO100" s="5" t="s">
        <v>2039</v>
      </c>
      <c r="AP100" s="5" t="s">
        <v>21</v>
      </c>
      <c r="AQ100" s="5" t="s">
        <v>2040</v>
      </c>
      <c r="AR100" s="5" t="s">
        <v>2041</v>
      </c>
      <c r="AS100" s="5" t="s">
        <v>543</v>
      </c>
      <c r="AT100" s="5">
        <v>2019</v>
      </c>
      <c r="AU100" s="5">
        <v>32</v>
      </c>
      <c r="AV100" s="5">
        <v>6</v>
      </c>
      <c r="AW100" s="5" t="s">
        <v>21</v>
      </c>
      <c r="AX100" s="5" t="s">
        <v>21</v>
      </c>
      <c r="AY100" s="5" t="s">
        <v>21</v>
      </c>
      <c r="AZ100" s="5" t="s">
        <v>21</v>
      </c>
      <c r="BA100" s="5">
        <v>1446</v>
      </c>
      <c r="BB100" s="5">
        <v>1452</v>
      </c>
      <c r="BC100" s="5" t="s">
        <v>21</v>
      </c>
      <c r="BD100" s="5" t="s">
        <v>2042</v>
      </c>
      <c r="BE100" s="5" t="str">
        <f>HYPERLINK("http://dx.doi.org/10.1111/jar.12637","http://dx.doi.org/10.1111/jar.12637")</f>
        <v>http://dx.doi.org/10.1111/jar.12637</v>
      </c>
      <c r="BF100" s="5" t="s">
        <v>21</v>
      </c>
      <c r="BG100" s="5" t="s">
        <v>21</v>
      </c>
      <c r="BH100" s="5">
        <v>7</v>
      </c>
      <c r="BI100" s="5" t="s">
        <v>2043</v>
      </c>
      <c r="BJ100" s="5" t="s">
        <v>45</v>
      </c>
      <c r="BK100" s="5" t="s">
        <v>2044</v>
      </c>
      <c r="BL100" s="5" t="s">
        <v>2045</v>
      </c>
      <c r="BM100" s="5">
        <v>31192520</v>
      </c>
      <c r="BN100" s="5" t="s">
        <v>21</v>
      </c>
      <c r="BO100" s="5" t="s">
        <v>21</v>
      </c>
      <c r="BP100" s="5" t="s">
        <v>21</v>
      </c>
      <c r="BQ100" s="5" t="s">
        <v>49</v>
      </c>
      <c r="BR100" s="5" t="s">
        <v>2046</v>
      </c>
      <c r="BS100" s="5" t="str">
        <f>HYPERLINK("https%3A%2F%2Fwww.webofscience.com%2Fwos%2Fwoscc%2Ffull-record%2FWOS:000489223000013","View Full Record in Web of Science")</f>
        <v>View Full Record in Web of Science</v>
      </c>
    </row>
    <row r="101" spans="1:71" x14ac:dyDescent="0.25">
      <c r="A101" t="s">
        <v>19</v>
      </c>
      <c r="B101" s="5" t="s">
        <v>2047</v>
      </c>
      <c r="C101" s="5" t="s">
        <v>21</v>
      </c>
      <c r="D101" s="5" t="s">
        <v>21</v>
      </c>
      <c r="E101" s="5" t="s">
        <v>21</v>
      </c>
      <c r="F101" s="5" t="s">
        <v>2048</v>
      </c>
      <c r="G101" s="5" t="s">
        <v>21</v>
      </c>
      <c r="H101" s="5" t="s">
        <v>21</v>
      </c>
      <c r="I101" s="5" t="s">
        <v>2049</v>
      </c>
      <c r="J101" s="12" t="s">
        <v>2050</v>
      </c>
      <c r="K101" s="5" t="s">
        <v>21</v>
      </c>
      <c r="L101" s="5" t="s">
        <v>21</v>
      </c>
      <c r="M101" s="5" t="s">
        <v>25</v>
      </c>
      <c r="N101" s="5" t="s">
        <v>26</v>
      </c>
      <c r="O101" s="5" t="s">
        <v>21</v>
      </c>
      <c r="P101" s="5" t="s">
        <v>21</v>
      </c>
      <c r="Q101" s="5" t="s">
        <v>21</v>
      </c>
      <c r="R101" s="5" t="s">
        <v>21</v>
      </c>
      <c r="S101" s="5" t="s">
        <v>21</v>
      </c>
      <c r="T101" s="5" t="s">
        <v>2051</v>
      </c>
      <c r="U101" s="5" t="s">
        <v>2052</v>
      </c>
      <c r="V101" s="5" t="s">
        <v>2053</v>
      </c>
      <c r="W101" s="5" t="s">
        <v>2054</v>
      </c>
      <c r="X101" s="5" t="s">
        <v>2055</v>
      </c>
      <c r="Y101" s="5" t="s">
        <v>2056</v>
      </c>
      <c r="Z101" s="5" t="s">
        <v>2057</v>
      </c>
      <c r="AA101" s="5" t="s">
        <v>2058</v>
      </c>
      <c r="AB101" s="5" t="s">
        <v>2059</v>
      </c>
      <c r="AC101" s="5" t="s">
        <v>21</v>
      </c>
      <c r="AD101" s="5" t="s">
        <v>21</v>
      </c>
      <c r="AE101" s="5" t="s">
        <v>21</v>
      </c>
      <c r="AF101" s="5">
        <v>47</v>
      </c>
      <c r="AG101" s="5">
        <v>35</v>
      </c>
      <c r="AH101" s="5">
        <v>36</v>
      </c>
      <c r="AI101" s="5">
        <v>6</v>
      </c>
      <c r="AJ101" s="5">
        <v>83</v>
      </c>
      <c r="AK101" s="5" t="s">
        <v>493</v>
      </c>
      <c r="AL101" s="5" t="s">
        <v>494</v>
      </c>
      <c r="AM101" s="5" t="s">
        <v>495</v>
      </c>
      <c r="AN101" s="5" t="s">
        <v>2060</v>
      </c>
      <c r="AO101" s="5" t="s">
        <v>2061</v>
      </c>
      <c r="AP101" s="5" t="s">
        <v>21</v>
      </c>
      <c r="AQ101" s="5" t="s">
        <v>2062</v>
      </c>
      <c r="AR101" s="5" t="s">
        <v>2063</v>
      </c>
      <c r="AS101" s="5" t="s">
        <v>2064</v>
      </c>
      <c r="AT101" s="5">
        <v>2021</v>
      </c>
      <c r="AU101" s="5">
        <v>10</v>
      </c>
      <c r="AV101" s="5">
        <v>1</v>
      </c>
      <c r="AW101" s="5" t="s">
        <v>21</v>
      </c>
      <c r="AX101" s="5" t="s">
        <v>21</v>
      </c>
      <c r="AY101" s="5" t="s">
        <v>21</v>
      </c>
      <c r="AZ101" s="5" t="s">
        <v>21</v>
      </c>
      <c r="BA101" s="5">
        <v>90</v>
      </c>
      <c r="BB101" s="5">
        <v>100</v>
      </c>
      <c r="BC101" s="5" t="s">
        <v>21</v>
      </c>
      <c r="BD101" s="5" t="s">
        <v>2065</v>
      </c>
      <c r="BE101" s="5" t="str">
        <f>HYPERLINK("http://dx.doi.org/10.1080/21622965.2019.1610964","http://dx.doi.org/10.1080/21622965.2019.1610964")</f>
        <v>http://dx.doi.org/10.1080/21622965.2019.1610964</v>
      </c>
      <c r="BF101" s="5" t="s">
        <v>21</v>
      </c>
      <c r="BG101" s="5" t="s">
        <v>2066</v>
      </c>
      <c r="BH101" s="5">
        <v>11</v>
      </c>
      <c r="BI101" s="5" t="s">
        <v>2067</v>
      </c>
      <c r="BJ101" s="5" t="s">
        <v>92</v>
      </c>
      <c r="BK101" s="5" t="s">
        <v>1722</v>
      </c>
      <c r="BL101" s="5" t="s">
        <v>2068</v>
      </c>
      <c r="BM101" s="5">
        <v>31092007</v>
      </c>
      <c r="BN101" s="5" t="s">
        <v>21</v>
      </c>
      <c r="BO101" s="5" t="s">
        <v>21</v>
      </c>
      <c r="BP101" s="5" t="s">
        <v>21</v>
      </c>
      <c r="BQ101" s="5" t="s">
        <v>49</v>
      </c>
      <c r="BR101" s="5" t="s">
        <v>2069</v>
      </c>
      <c r="BS101" s="5" t="str">
        <f>HYPERLINK("https%3A%2F%2Fwww.webofscience.com%2Fwos%2Fwoscc%2Ffull-record%2FWOS:000470580600001","View Full Record in Web of Science")</f>
        <v>View Full Record in Web of Science</v>
      </c>
    </row>
    <row r="102" spans="1:71" x14ac:dyDescent="0.25">
      <c r="A102" t="s">
        <v>19</v>
      </c>
      <c r="B102" s="5" t="s">
        <v>2070</v>
      </c>
      <c r="C102" s="5" t="s">
        <v>21</v>
      </c>
      <c r="D102" s="5" t="s">
        <v>21</v>
      </c>
      <c r="E102" s="5" t="s">
        <v>21</v>
      </c>
      <c r="F102" s="5" t="s">
        <v>2071</v>
      </c>
      <c r="G102" s="5" t="s">
        <v>21</v>
      </c>
      <c r="H102" s="5" t="s">
        <v>21</v>
      </c>
      <c r="I102" s="5" t="s">
        <v>2072</v>
      </c>
      <c r="J102" s="12" t="s">
        <v>1443</v>
      </c>
      <c r="K102" s="5" t="s">
        <v>21</v>
      </c>
      <c r="L102" s="5" t="s">
        <v>21</v>
      </c>
      <c r="M102" s="5" t="s">
        <v>25</v>
      </c>
      <c r="N102" s="5" t="s">
        <v>26</v>
      </c>
      <c r="O102" s="5" t="s">
        <v>21</v>
      </c>
      <c r="P102" s="5" t="s">
        <v>21</v>
      </c>
      <c r="Q102" s="5" t="s">
        <v>21</v>
      </c>
      <c r="R102" s="5" t="s">
        <v>21</v>
      </c>
      <c r="S102" s="5" t="s">
        <v>21</v>
      </c>
      <c r="T102" s="5" t="s">
        <v>2073</v>
      </c>
      <c r="U102" s="5" t="s">
        <v>2074</v>
      </c>
      <c r="V102" s="5" t="s">
        <v>2075</v>
      </c>
      <c r="W102" s="5" t="s">
        <v>2076</v>
      </c>
      <c r="X102" s="5" t="s">
        <v>2077</v>
      </c>
      <c r="Y102" s="5" t="s">
        <v>2078</v>
      </c>
      <c r="Z102" s="5" t="s">
        <v>2079</v>
      </c>
      <c r="AA102" s="5" t="s">
        <v>2080</v>
      </c>
      <c r="AB102" s="5" t="s">
        <v>2081</v>
      </c>
      <c r="AC102" s="5" t="s">
        <v>2082</v>
      </c>
      <c r="AD102" s="5" t="s">
        <v>2083</v>
      </c>
      <c r="AE102" s="5" t="s">
        <v>2084</v>
      </c>
      <c r="AF102" s="5">
        <v>36</v>
      </c>
      <c r="AG102" s="5">
        <v>35</v>
      </c>
      <c r="AH102" s="5">
        <v>40</v>
      </c>
      <c r="AI102" s="5">
        <v>17</v>
      </c>
      <c r="AJ102" s="5">
        <v>128</v>
      </c>
      <c r="AK102" s="5" t="s">
        <v>493</v>
      </c>
      <c r="AL102" s="5" t="s">
        <v>494</v>
      </c>
      <c r="AM102" s="5" t="s">
        <v>495</v>
      </c>
      <c r="AN102" s="5" t="s">
        <v>1453</v>
      </c>
      <c r="AO102" s="5" t="s">
        <v>1454</v>
      </c>
      <c r="AP102" s="5" t="s">
        <v>21</v>
      </c>
      <c r="AQ102" s="5" t="s">
        <v>1455</v>
      </c>
      <c r="AR102" s="5" t="s">
        <v>1456</v>
      </c>
      <c r="AS102" s="5" t="s">
        <v>21</v>
      </c>
      <c r="AT102" s="5">
        <v>2018</v>
      </c>
      <c r="AU102" s="5">
        <v>26</v>
      </c>
      <c r="AV102" s="5">
        <v>6</v>
      </c>
      <c r="AW102" s="5" t="s">
        <v>21</v>
      </c>
      <c r="AX102" s="5" t="s">
        <v>21</v>
      </c>
      <c r="AY102" s="5" t="s">
        <v>21</v>
      </c>
      <c r="AZ102" s="5" t="s">
        <v>21</v>
      </c>
      <c r="BA102" s="5">
        <v>718</v>
      </c>
      <c r="BB102" s="5">
        <v>729</v>
      </c>
      <c r="BC102" s="5" t="s">
        <v>21</v>
      </c>
      <c r="BD102" s="5" t="s">
        <v>2085</v>
      </c>
      <c r="BE102" s="5" t="str">
        <f>HYPERLINK("http://dx.doi.org/10.1080/10494820.2017.1399149","http://dx.doi.org/10.1080/10494820.2017.1399149")</f>
        <v>http://dx.doi.org/10.1080/10494820.2017.1399149</v>
      </c>
      <c r="BF102" s="5" t="s">
        <v>21</v>
      </c>
      <c r="BG102" s="5" t="s">
        <v>21</v>
      </c>
      <c r="BH102" s="5">
        <v>12</v>
      </c>
      <c r="BI102" s="5" t="s">
        <v>503</v>
      </c>
      <c r="BJ102" s="5" t="s">
        <v>45</v>
      </c>
      <c r="BK102" s="5" t="s">
        <v>503</v>
      </c>
      <c r="BL102" s="5" t="s">
        <v>2086</v>
      </c>
      <c r="BM102" s="5" t="s">
        <v>21</v>
      </c>
      <c r="BN102" s="5" t="s">
        <v>137</v>
      </c>
      <c r="BO102" s="5" t="s">
        <v>21</v>
      </c>
      <c r="BP102" s="5" t="s">
        <v>21</v>
      </c>
      <c r="BQ102" s="5" t="s">
        <v>49</v>
      </c>
      <c r="BR102" s="5" t="s">
        <v>2087</v>
      </c>
      <c r="BS102" s="5" t="str">
        <f>HYPERLINK("https%3A%2F%2Fwww.webofscience.com%2Fwos%2Fwoscc%2Ffull-record%2FWOS:000439886800002","View Full Record in Web of Science")</f>
        <v>View Full Record in Web of Science</v>
      </c>
    </row>
    <row r="103" spans="1:71" x14ac:dyDescent="0.25">
      <c r="A103" t="s">
        <v>19</v>
      </c>
      <c r="B103" s="5" t="s">
        <v>2088</v>
      </c>
      <c r="C103" s="5" t="s">
        <v>21</v>
      </c>
      <c r="D103" s="5" t="s">
        <v>21</v>
      </c>
      <c r="E103" s="5" t="s">
        <v>21</v>
      </c>
      <c r="F103" s="5" t="s">
        <v>2089</v>
      </c>
      <c r="G103" s="5" t="s">
        <v>21</v>
      </c>
      <c r="H103" s="5" t="s">
        <v>21</v>
      </c>
      <c r="I103" s="5" t="s">
        <v>2090</v>
      </c>
      <c r="J103" s="12" t="s">
        <v>24</v>
      </c>
      <c r="K103" s="5" t="s">
        <v>21</v>
      </c>
      <c r="L103" s="5" t="s">
        <v>21</v>
      </c>
      <c r="M103" s="5" t="s">
        <v>25</v>
      </c>
      <c r="N103" s="5" t="s">
        <v>26</v>
      </c>
      <c r="O103" s="5" t="s">
        <v>21</v>
      </c>
      <c r="P103" s="5" t="s">
        <v>21</v>
      </c>
      <c r="Q103" s="5" t="s">
        <v>21</v>
      </c>
      <c r="R103" s="5" t="s">
        <v>21</v>
      </c>
      <c r="S103" s="5" t="s">
        <v>21</v>
      </c>
      <c r="T103" s="5" t="s">
        <v>2091</v>
      </c>
      <c r="U103" s="5" t="s">
        <v>2092</v>
      </c>
      <c r="V103" s="5" t="s">
        <v>2093</v>
      </c>
      <c r="W103" s="5" t="s">
        <v>2094</v>
      </c>
      <c r="X103" s="5" t="s">
        <v>2095</v>
      </c>
      <c r="Y103" s="5" t="s">
        <v>2096</v>
      </c>
      <c r="Z103" s="5" t="s">
        <v>2097</v>
      </c>
      <c r="AA103" s="5" t="s">
        <v>2098</v>
      </c>
      <c r="AB103" s="5" t="s">
        <v>2099</v>
      </c>
      <c r="AC103" s="5" t="s">
        <v>2100</v>
      </c>
      <c r="AD103" s="5" t="s">
        <v>2101</v>
      </c>
      <c r="AE103" s="5" t="s">
        <v>2102</v>
      </c>
      <c r="AF103" s="5">
        <v>38</v>
      </c>
      <c r="AG103" s="5">
        <v>35</v>
      </c>
      <c r="AH103" s="5">
        <v>41</v>
      </c>
      <c r="AI103" s="5">
        <v>1</v>
      </c>
      <c r="AJ103" s="5">
        <v>53</v>
      </c>
      <c r="AK103" s="5" t="s">
        <v>35</v>
      </c>
      <c r="AL103" s="5" t="s">
        <v>36</v>
      </c>
      <c r="AM103" s="5" t="s">
        <v>37</v>
      </c>
      <c r="AN103" s="5" t="s">
        <v>38</v>
      </c>
      <c r="AO103" s="5" t="s">
        <v>39</v>
      </c>
      <c r="AP103" s="5" t="s">
        <v>21</v>
      </c>
      <c r="AQ103" s="5" t="s">
        <v>40</v>
      </c>
      <c r="AR103" s="5" t="s">
        <v>41</v>
      </c>
      <c r="AS103" s="5" t="s">
        <v>269</v>
      </c>
      <c r="AT103" s="5">
        <v>2016</v>
      </c>
      <c r="AU103" s="5">
        <v>46</v>
      </c>
      <c r="AV103" s="5">
        <v>12</v>
      </c>
      <c r="AW103" s="5" t="s">
        <v>21</v>
      </c>
      <c r="AX103" s="5" t="s">
        <v>21</v>
      </c>
      <c r="AY103" s="5" t="s">
        <v>21</v>
      </c>
      <c r="AZ103" s="5" t="s">
        <v>21</v>
      </c>
      <c r="BA103" s="5">
        <v>3788</v>
      </c>
      <c r="BB103" s="5">
        <v>3797</v>
      </c>
      <c r="BC103" s="5" t="s">
        <v>21</v>
      </c>
      <c r="BD103" s="5" t="s">
        <v>2103</v>
      </c>
      <c r="BE103" s="5" t="str">
        <f>HYPERLINK("http://dx.doi.org/10.1007/s10803-016-2930-2","http://dx.doi.org/10.1007/s10803-016-2930-2")</f>
        <v>http://dx.doi.org/10.1007/s10803-016-2930-2</v>
      </c>
      <c r="BF103" s="5" t="s">
        <v>21</v>
      </c>
      <c r="BG103" s="5" t="s">
        <v>21</v>
      </c>
      <c r="BH103" s="5">
        <v>10</v>
      </c>
      <c r="BI103" s="5" t="s">
        <v>44</v>
      </c>
      <c r="BJ103" s="5" t="s">
        <v>45</v>
      </c>
      <c r="BK103" s="5" t="s">
        <v>46</v>
      </c>
      <c r="BL103" s="5" t="s">
        <v>2104</v>
      </c>
      <c r="BM103" s="5">
        <v>27696183</v>
      </c>
      <c r="BN103" s="5" t="s">
        <v>2105</v>
      </c>
      <c r="BO103" s="5" t="s">
        <v>21</v>
      </c>
      <c r="BP103" s="5" t="s">
        <v>21</v>
      </c>
      <c r="BQ103" s="5" t="s">
        <v>49</v>
      </c>
      <c r="BR103" s="5" t="s">
        <v>2106</v>
      </c>
      <c r="BS103" s="5" t="str">
        <f>HYPERLINK("https%3A%2F%2Fwww.webofscience.com%2Fwos%2Fwoscc%2Ffull-record%2FWOS:000388621400014","View Full Record in Web of Science")</f>
        <v>View Full Record in Web of Science</v>
      </c>
    </row>
    <row r="104" spans="1:71" x14ac:dyDescent="0.25">
      <c r="A104" t="s">
        <v>19</v>
      </c>
      <c r="B104" s="5" t="s">
        <v>2107</v>
      </c>
      <c r="C104" s="5" t="s">
        <v>21</v>
      </c>
      <c r="D104" s="5" t="s">
        <v>21</v>
      </c>
      <c r="E104" s="5" t="s">
        <v>21</v>
      </c>
      <c r="F104" s="5" t="s">
        <v>2107</v>
      </c>
      <c r="G104" s="5" t="s">
        <v>21</v>
      </c>
      <c r="H104" s="5" t="s">
        <v>21</v>
      </c>
      <c r="I104" s="5" t="s">
        <v>2108</v>
      </c>
      <c r="J104" s="12" t="s">
        <v>2109</v>
      </c>
      <c r="K104" s="5" t="s">
        <v>21</v>
      </c>
      <c r="L104" s="5" t="s">
        <v>21</v>
      </c>
      <c r="M104" s="5" t="s">
        <v>25</v>
      </c>
      <c r="N104" s="5" t="s">
        <v>26</v>
      </c>
      <c r="O104" s="5" t="s">
        <v>21</v>
      </c>
      <c r="P104" s="5" t="s">
        <v>21</v>
      </c>
      <c r="Q104" s="5" t="s">
        <v>21</v>
      </c>
      <c r="R104" s="5" t="s">
        <v>21</v>
      </c>
      <c r="S104" s="5" t="s">
        <v>21</v>
      </c>
      <c r="T104" s="5" t="s">
        <v>2110</v>
      </c>
      <c r="U104" s="5" t="s">
        <v>2111</v>
      </c>
      <c r="V104" s="5" t="s">
        <v>2112</v>
      </c>
      <c r="W104" s="5" t="s">
        <v>2113</v>
      </c>
      <c r="X104" s="5" t="s">
        <v>21</v>
      </c>
      <c r="Y104" s="5" t="s">
        <v>2114</v>
      </c>
      <c r="Z104" s="5" t="s">
        <v>2115</v>
      </c>
      <c r="AA104" s="5" t="s">
        <v>21</v>
      </c>
      <c r="AB104" s="5" t="s">
        <v>21</v>
      </c>
      <c r="AC104" s="5" t="s">
        <v>21</v>
      </c>
      <c r="AD104" s="5" t="s">
        <v>21</v>
      </c>
      <c r="AE104" s="5" t="s">
        <v>21</v>
      </c>
      <c r="AF104" s="5">
        <v>66</v>
      </c>
      <c r="AG104" s="5">
        <v>35</v>
      </c>
      <c r="AH104" s="5">
        <v>42</v>
      </c>
      <c r="AI104" s="5">
        <v>0</v>
      </c>
      <c r="AJ104" s="5">
        <v>33</v>
      </c>
      <c r="AK104" s="5" t="s">
        <v>2116</v>
      </c>
      <c r="AL104" s="5" t="s">
        <v>1134</v>
      </c>
      <c r="AM104" s="5" t="s">
        <v>2117</v>
      </c>
      <c r="AN104" s="5" t="s">
        <v>2118</v>
      </c>
      <c r="AO104" s="5" t="s">
        <v>2119</v>
      </c>
      <c r="AP104" s="5" t="s">
        <v>21</v>
      </c>
      <c r="AQ104" s="5" t="s">
        <v>2109</v>
      </c>
      <c r="AR104" s="5" t="s">
        <v>2120</v>
      </c>
      <c r="AS104" s="5" t="s">
        <v>21</v>
      </c>
      <c r="AT104" s="5">
        <v>1999</v>
      </c>
      <c r="AU104" s="5">
        <v>12</v>
      </c>
      <c r="AV104" s="5">
        <v>1</v>
      </c>
      <c r="AW104" s="5" t="s">
        <v>21</v>
      </c>
      <c r="AX104" s="5" t="s">
        <v>21</v>
      </c>
      <c r="AY104" s="5" t="s">
        <v>21</v>
      </c>
      <c r="AZ104" s="5" t="s">
        <v>21</v>
      </c>
      <c r="BA104" s="5">
        <v>63</v>
      </c>
      <c r="BB104" s="5">
        <v>72</v>
      </c>
      <c r="BC104" s="5" t="s">
        <v>21</v>
      </c>
      <c r="BD104" s="5" t="s">
        <v>21</v>
      </c>
      <c r="BE104" s="5" t="s">
        <v>21</v>
      </c>
      <c r="BF104" s="5" t="s">
        <v>21</v>
      </c>
      <c r="BG104" s="5" t="s">
        <v>21</v>
      </c>
      <c r="BH104" s="5">
        <v>10</v>
      </c>
      <c r="BI104" s="5" t="s">
        <v>2121</v>
      </c>
      <c r="BJ104" s="5" t="s">
        <v>45</v>
      </c>
      <c r="BK104" s="5" t="s">
        <v>2122</v>
      </c>
      <c r="BL104" s="5" t="s">
        <v>2123</v>
      </c>
      <c r="BM104" s="5" t="s">
        <v>21</v>
      </c>
      <c r="BN104" s="5" t="s">
        <v>21</v>
      </c>
      <c r="BO104" s="5" t="s">
        <v>21</v>
      </c>
      <c r="BP104" s="5" t="s">
        <v>21</v>
      </c>
      <c r="BQ104" s="5" t="s">
        <v>49</v>
      </c>
      <c r="BR104" s="5" t="s">
        <v>2124</v>
      </c>
      <c r="BS104" s="5" t="str">
        <f>HYPERLINK("https%3A%2F%2Fwww.webofscience.com%2Fwos%2Fwoscc%2Ffull-record%2FWOS:000080045100007","View Full Record in Web of Science")</f>
        <v>View Full Record in Web of Science</v>
      </c>
    </row>
    <row r="105" spans="1:71" x14ac:dyDescent="0.25">
      <c r="A105" t="s">
        <v>19</v>
      </c>
      <c r="B105" s="5" t="s">
        <v>2125</v>
      </c>
      <c r="C105" s="5" t="s">
        <v>21</v>
      </c>
      <c r="D105" s="5" t="s">
        <v>21</v>
      </c>
      <c r="E105" s="5" t="s">
        <v>21</v>
      </c>
      <c r="F105" s="5" t="s">
        <v>2126</v>
      </c>
      <c r="G105" s="5" t="s">
        <v>21</v>
      </c>
      <c r="H105" s="5" t="s">
        <v>21</v>
      </c>
      <c r="I105" s="5" t="s">
        <v>2127</v>
      </c>
      <c r="J105" s="12" t="s">
        <v>2128</v>
      </c>
      <c r="K105" s="5" t="s">
        <v>21</v>
      </c>
      <c r="L105" s="5" t="s">
        <v>21</v>
      </c>
      <c r="M105" s="5" t="s">
        <v>25</v>
      </c>
      <c r="N105" s="5" t="s">
        <v>76</v>
      </c>
      <c r="O105" s="5" t="s">
        <v>21</v>
      </c>
      <c r="P105" s="5" t="s">
        <v>21</v>
      </c>
      <c r="Q105" s="5" t="s">
        <v>21</v>
      </c>
      <c r="R105" s="5" t="s">
        <v>21</v>
      </c>
      <c r="S105" s="5" t="s">
        <v>21</v>
      </c>
      <c r="T105" s="5" t="s">
        <v>2129</v>
      </c>
      <c r="U105" s="5" t="s">
        <v>2130</v>
      </c>
      <c r="V105" s="5" t="s">
        <v>2131</v>
      </c>
      <c r="W105" s="5" t="s">
        <v>2132</v>
      </c>
      <c r="X105" s="5" t="s">
        <v>2133</v>
      </c>
      <c r="Y105" s="5" t="s">
        <v>2134</v>
      </c>
      <c r="Z105" s="5" t="s">
        <v>2135</v>
      </c>
      <c r="AA105" s="5" t="s">
        <v>2136</v>
      </c>
      <c r="AB105" s="5" t="s">
        <v>2137</v>
      </c>
      <c r="AC105" s="5" t="s">
        <v>21</v>
      </c>
      <c r="AD105" s="5" t="s">
        <v>21</v>
      </c>
      <c r="AE105" s="5" t="s">
        <v>21</v>
      </c>
      <c r="AF105" s="5">
        <v>75</v>
      </c>
      <c r="AG105" s="5">
        <v>34</v>
      </c>
      <c r="AH105" s="5">
        <v>36</v>
      </c>
      <c r="AI105" s="5">
        <v>15</v>
      </c>
      <c r="AJ105" s="5">
        <v>133</v>
      </c>
      <c r="AK105" s="5" t="s">
        <v>1623</v>
      </c>
      <c r="AL105" s="5" t="s">
        <v>1624</v>
      </c>
      <c r="AM105" s="5" t="s">
        <v>1625</v>
      </c>
      <c r="AN105" s="5" t="s">
        <v>2138</v>
      </c>
      <c r="AO105" s="5" t="s">
        <v>2139</v>
      </c>
      <c r="AP105" s="5" t="s">
        <v>21</v>
      </c>
      <c r="AQ105" s="5" t="s">
        <v>2140</v>
      </c>
      <c r="AR105" s="5" t="s">
        <v>2141</v>
      </c>
      <c r="AS105" s="5" t="s">
        <v>116</v>
      </c>
      <c r="AT105" s="5">
        <v>2022</v>
      </c>
      <c r="AU105" s="5">
        <v>9</v>
      </c>
      <c r="AV105" s="5">
        <v>3</v>
      </c>
      <c r="AW105" s="5" t="s">
        <v>21</v>
      </c>
      <c r="AX105" s="5" t="s">
        <v>21</v>
      </c>
      <c r="AY105" s="5" t="s">
        <v>21</v>
      </c>
      <c r="AZ105" s="5" t="s">
        <v>21</v>
      </c>
      <c r="BA105" s="5">
        <v>334</v>
      </c>
      <c r="BB105" s="5">
        <v>350</v>
      </c>
      <c r="BC105" s="5" t="s">
        <v>21</v>
      </c>
      <c r="BD105" s="5" t="s">
        <v>2142</v>
      </c>
      <c r="BE105" s="5" t="str">
        <f>HYPERLINK("http://dx.doi.org/10.1007/s40489-021-00259-6","http://dx.doi.org/10.1007/s40489-021-00259-6")</f>
        <v>http://dx.doi.org/10.1007/s40489-021-00259-6</v>
      </c>
      <c r="BF105" s="5" t="s">
        <v>21</v>
      </c>
      <c r="BG105" s="5" t="s">
        <v>2143</v>
      </c>
      <c r="BH105" s="5">
        <v>17</v>
      </c>
      <c r="BI105" s="5" t="s">
        <v>44</v>
      </c>
      <c r="BJ105" s="5" t="s">
        <v>45</v>
      </c>
      <c r="BK105" s="5" t="s">
        <v>46</v>
      </c>
      <c r="BL105" s="5" t="s">
        <v>2144</v>
      </c>
      <c r="BM105" s="5" t="s">
        <v>21</v>
      </c>
      <c r="BN105" s="5" t="s">
        <v>21</v>
      </c>
      <c r="BO105" s="5" t="s">
        <v>21</v>
      </c>
      <c r="BP105" s="5" t="s">
        <v>21</v>
      </c>
      <c r="BQ105" s="5" t="s">
        <v>49</v>
      </c>
      <c r="BR105" s="5" t="s">
        <v>2145</v>
      </c>
      <c r="BS105" s="5" t="str">
        <f>HYPERLINK("https%3A%2F%2Fwww.webofscience.com%2Fwos%2Fwoscc%2Ffull-record%2FWOS:000645880800001","View Full Record in Web of Science")</f>
        <v>View Full Record in Web of Science</v>
      </c>
    </row>
    <row r="106" spans="1:71" x14ac:dyDescent="0.25">
      <c r="A106" t="s">
        <v>19</v>
      </c>
      <c r="B106" s="5" t="s">
        <v>2146</v>
      </c>
      <c r="C106" s="5" t="s">
        <v>21</v>
      </c>
      <c r="D106" s="5" t="s">
        <v>21</v>
      </c>
      <c r="E106" s="5" t="s">
        <v>21</v>
      </c>
      <c r="F106" s="5" t="s">
        <v>2147</v>
      </c>
      <c r="G106" s="5" t="s">
        <v>21</v>
      </c>
      <c r="H106" s="5" t="s">
        <v>21</v>
      </c>
      <c r="I106" s="5" t="s">
        <v>2148</v>
      </c>
      <c r="J106" s="12" t="s">
        <v>2149</v>
      </c>
      <c r="K106" s="5" t="s">
        <v>21</v>
      </c>
      <c r="L106" s="5" t="s">
        <v>21</v>
      </c>
      <c r="M106" s="5" t="s">
        <v>25</v>
      </c>
      <c r="N106" s="5" t="s">
        <v>26</v>
      </c>
      <c r="O106" s="5" t="s">
        <v>21</v>
      </c>
      <c r="P106" s="5" t="s">
        <v>21</v>
      </c>
      <c r="Q106" s="5" t="s">
        <v>21</v>
      </c>
      <c r="R106" s="5" t="s">
        <v>21</v>
      </c>
      <c r="S106" s="5" t="s">
        <v>21</v>
      </c>
      <c r="T106" s="5" t="s">
        <v>2150</v>
      </c>
      <c r="U106" s="5" t="s">
        <v>2151</v>
      </c>
      <c r="V106" s="5" t="s">
        <v>2152</v>
      </c>
      <c r="W106" s="5" t="s">
        <v>2153</v>
      </c>
      <c r="X106" s="5" t="s">
        <v>2154</v>
      </c>
      <c r="Y106" s="5" t="s">
        <v>2155</v>
      </c>
      <c r="Z106" s="5" t="s">
        <v>2156</v>
      </c>
      <c r="AA106" s="5" t="s">
        <v>21</v>
      </c>
      <c r="AB106" s="5" t="s">
        <v>2157</v>
      </c>
      <c r="AC106" s="5" t="s">
        <v>2158</v>
      </c>
      <c r="AD106" s="5" t="s">
        <v>2159</v>
      </c>
      <c r="AE106" s="5" t="s">
        <v>2160</v>
      </c>
      <c r="AF106" s="5">
        <v>74</v>
      </c>
      <c r="AG106" s="5">
        <v>34</v>
      </c>
      <c r="AH106" s="5">
        <v>37</v>
      </c>
      <c r="AI106" s="5">
        <v>12</v>
      </c>
      <c r="AJ106" s="5">
        <v>99</v>
      </c>
      <c r="AK106" s="5" t="s">
        <v>193</v>
      </c>
      <c r="AL106" s="5" t="s">
        <v>194</v>
      </c>
      <c r="AM106" s="5" t="s">
        <v>195</v>
      </c>
      <c r="AN106" s="5" t="s">
        <v>21</v>
      </c>
      <c r="AO106" s="5" t="s">
        <v>2161</v>
      </c>
      <c r="AP106" s="5" t="s">
        <v>21</v>
      </c>
      <c r="AQ106" s="5" t="s">
        <v>2162</v>
      </c>
      <c r="AR106" s="5" t="s">
        <v>2163</v>
      </c>
      <c r="AS106" s="5" t="s">
        <v>69</v>
      </c>
      <c r="AT106" s="5">
        <v>2020</v>
      </c>
      <c r="AU106" s="5">
        <v>10</v>
      </c>
      <c r="AV106" s="5">
        <v>9</v>
      </c>
      <c r="AW106" s="5" t="s">
        <v>21</v>
      </c>
      <c r="AX106" s="5" t="s">
        <v>21</v>
      </c>
      <c r="AY106" s="5" t="s">
        <v>21</v>
      </c>
      <c r="AZ106" s="5" t="s">
        <v>21</v>
      </c>
      <c r="BA106" s="5" t="s">
        <v>21</v>
      </c>
      <c r="BB106" s="5" t="s">
        <v>21</v>
      </c>
      <c r="BC106" s="5">
        <v>2996</v>
      </c>
      <c r="BD106" s="5" t="s">
        <v>2164</v>
      </c>
      <c r="BE106" s="5" t="str">
        <f>HYPERLINK("http://dx.doi.org/10.3390/app10092996","http://dx.doi.org/10.3390/app10092996")</f>
        <v>http://dx.doi.org/10.3390/app10092996</v>
      </c>
      <c r="BF106" s="5" t="s">
        <v>21</v>
      </c>
      <c r="BG106" s="5" t="s">
        <v>21</v>
      </c>
      <c r="BH106" s="5">
        <v>17</v>
      </c>
      <c r="BI106" s="5" t="s">
        <v>2165</v>
      </c>
      <c r="BJ106" s="5" t="s">
        <v>92</v>
      </c>
      <c r="BK106" s="5" t="s">
        <v>2166</v>
      </c>
      <c r="BL106" s="5" t="s">
        <v>2167</v>
      </c>
      <c r="BM106" s="5" t="s">
        <v>21</v>
      </c>
      <c r="BN106" s="5" t="s">
        <v>2168</v>
      </c>
      <c r="BO106" s="5" t="s">
        <v>21</v>
      </c>
      <c r="BP106" s="5" t="s">
        <v>21</v>
      </c>
      <c r="BQ106" s="5" t="s">
        <v>49</v>
      </c>
      <c r="BR106" s="5" t="s">
        <v>2169</v>
      </c>
      <c r="BS106" s="5" t="str">
        <f>HYPERLINK("https%3A%2F%2Fwww.webofscience.com%2Fwos%2Fwoscc%2Ffull-record%2FWOS:000535541900009","View Full Record in Web of Science")</f>
        <v>View Full Record in Web of Science</v>
      </c>
    </row>
    <row r="107" spans="1:71" x14ac:dyDescent="0.25">
      <c r="A107" t="s">
        <v>19</v>
      </c>
      <c r="B107" s="5" t="s">
        <v>2170</v>
      </c>
      <c r="C107" s="5" t="s">
        <v>21</v>
      </c>
      <c r="D107" s="5" t="s">
        <v>21</v>
      </c>
      <c r="E107" s="5" t="s">
        <v>21</v>
      </c>
      <c r="F107" s="5" t="s">
        <v>2171</v>
      </c>
      <c r="G107" s="5" t="s">
        <v>21</v>
      </c>
      <c r="H107" s="5" t="s">
        <v>21</v>
      </c>
      <c r="I107" s="5" t="s">
        <v>2172</v>
      </c>
      <c r="J107" s="12" t="s">
        <v>2173</v>
      </c>
      <c r="K107" s="5" t="s">
        <v>21</v>
      </c>
      <c r="L107" s="5" t="s">
        <v>21</v>
      </c>
      <c r="M107" s="5" t="s">
        <v>25</v>
      </c>
      <c r="N107" s="5" t="s">
        <v>76</v>
      </c>
      <c r="O107" s="5" t="s">
        <v>21</v>
      </c>
      <c r="P107" s="5" t="s">
        <v>21</v>
      </c>
      <c r="Q107" s="5" t="s">
        <v>21</v>
      </c>
      <c r="R107" s="5" t="s">
        <v>21</v>
      </c>
      <c r="S107" s="5" t="s">
        <v>21</v>
      </c>
      <c r="T107" s="5" t="s">
        <v>2174</v>
      </c>
      <c r="U107" s="5" t="s">
        <v>2175</v>
      </c>
      <c r="V107" s="5" t="s">
        <v>2176</v>
      </c>
      <c r="W107" s="5" t="s">
        <v>2177</v>
      </c>
      <c r="X107" s="5" t="s">
        <v>2178</v>
      </c>
      <c r="Y107" s="5" t="s">
        <v>2179</v>
      </c>
      <c r="Z107" s="5" t="s">
        <v>2180</v>
      </c>
      <c r="AA107" s="5" t="s">
        <v>2181</v>
      </c>
      <c r="AB107" s="5" t="s">
        <v>2182</v>
      </c>
      <c r="AC107" s="5" t="s">
        <v>21</v>
      </c>
      <c r="AD107" s="5" t="s">
        <v>21</v>
      </c>
      <c r="AE107" s="5" t="s">
        <v>21</v>
      </c>
      <c r="AF107" s="5">
        <v>148</v>
      </c>
      <c r="AG107" s="5">
        <v>33</v>
      </c>
      <c r="AH107" s="5">
        <v>33</v>
      </c>
      <c r="AI107" s="5">
        <v>36</v>
      </c>
      <c r="AJ107" s="5">
        <v>204</v>
      </c>
      <c r="AK107" s="5" t="s">
        <v>193</v>
      </c>
      <c r="AL107" s="5" t="s">
        <v>194</v>
      </c>
      <c r="AM107" s="5" t="s">
        <v>195</v>
      </c>
      <c r="AN107" s="5" t="s">
        <v>21</v>
      </c>
      <c r="AO107" s="5" t="s">
        <v>2183</v>
      </c>
      <c r="AP107" s="5" t="s">
        <v>21</v>
      </c>
      <c r="AQ107" s="5" t="s">
        <v>2184</v>
      </c>
      <c r="AR107" s="5" t="s">
        <v>2185</v>
      </c>
      <c r="AS107" s="5" t="s">
        <v>199</v>
      </c>
      <c r="AT107" s="5">
        <v>2022</v>
      </c>
      <c r="AU107" s="5">
        <v>14</v>
      </c>
      <c r="AV107" s="5">
        <v>16</v>
      </c>
      <c r="AW107" s="5" t="s">
        <v>21</v>
      </c>
      <c r="AX107" s="5" t="s">
        <v>21</v>
      </c>
      <c r="AY107" s="5" t="s">
        <v>21</v>
      </c>
      <c r="AZ107" s="5" t="s">
        <v>21</v>
      </c>
      <c r="BA107" s="5" t="s">
        <v>21</v>
      </c>
      <c r="BB107" s="5" t="s">
        <v>21</v>
      </c>
      <c r="BC107" s="5">
        <v>10170</v>
      </c>
      <c r="BD107" s="5" t="s">
        <v>2186</v>
      </c>
      <c r="BE107" s="5" t="str">
        <f>HYPERLINK("http://dx.doi.org/10.3390/su141610170","http://dx.doi.org/10.3390/su141610170")</f>
        <v>http://dx.doi.org/10.3390/su141610170</v>
      </c>
      <c r="BF107" s="5" t="s">
        <v>21</v>
      </c>
      <c r="BG107" s="5" t="s">
        <v>21</v>
      </c>
      <c r="BH107" s="5">
        <v>19</v>
      </c>
      <c r="BI107" s="5" t="s">
        <v>2187</v>
      </c>
      <c r="BJ107" s="5" t="s">
        <v>92</v>
      </c>
      <c r="BK107" s="5" t="s">
        <v>2188</v>
      </c>
      <c r="BL107" s="5" t="s">
        <v>2189</v>
      </c>
      <c r="BM107" s="5" t="s">
        <v>21</v>
      </c>
      <c r="BN107" s="5" t="s">
        <v>1909</v>
      </c>
      <c r="BO107" s="5" t="s">
        <v>21</v>
      </c>
      <c r="BP107" s="5" t="s">
        <v>21</v>
      </c>
      <c r="BQ107" s="5" t="s">
        <v>49</v>
      </c>
      <c r="BR107" s="5" t="s">
        <v>2190</v>
      </c>
      <c r="BS107" s="5" t="str">
        <f>HYPERLINK("https%3A%2F%2Fwww.webofscience.com%2Fwos%2Fwoscc%2Ffull-record%2FWOS:000845188400001","View Full Record in Web of Science")</f>
        <v>View Full Record in Web of Science</v>
      </c>
    </row>
    <row r="108" spans="1:71" x14ac:dyDescent="0.25">
      <c r="A108" t="s">
        <v>19</v>
      </c>
      <c r="B108" s="5" t="s">
        <v>2191</v>
      </c>
      <c r="C108" s="5" t="s">
        <v>21</v>
      </c>
      <c r="D108" s="5" t="s">
        <v>21</v>
      </c>
      <c r="E108" s="5" t="s">
        <v>21</v>
      </c>
      <c r="F108" s="5" t="s">
        <v>2192</v>
      </c>
      <c r="G108" s="5" t="s">
        <v>21</v>
      </c>
      <c r="H108" s="5" t="s">
        <v>21</v>
      </c>
      <c r="I108" s="5" t="s">
        <v>2193</v>
      </c>
      <c r="J108" s="12" t="s">
        <v>2128</v>
      </c>
      <c r="K108" s="5" t="s">
        <v>21</v>
      </c>
      <c r="L108" s="5" t="s">
        <v>21</v>
      </c>
      <c r="M108" s="5" t="s">
        <v>25</v>
      </c>
      <c r="N108" s="5" t="s">
        <v>76</v>
      </c>
      <c r="O108" s="5" t="s">
        <v>21</v>
      </c>
      <c r="P108" s="5" t="s">
        <v>21</v>
      </c>
      <c r="Q108" s="5" t="s">
        <v>21</v>
      </c>
      <c r="R108" s="5" t="s">
        <v>21</v>
      </c>
      <c r="S108" s="5" t="s">
        <v>21</v>
      </c>
      <c r="T108" s="5" t="s">
        <v>2194</v>
      </c>
      <c r="U108" s="5" t="s">
        <v>2195</v>
      </c>
      <c r="V108" s="5" t="s">
        <v>2196</v>
      </c>
      <c r="W108" s="5" t="s">
        <v>2197</v>
      </c>
      <c r="X108" s="5" t="s">
        <v>2198</v>
      </c>
      <c r="Y108" s="5" t="s">
        <v>2199</v>
      </c>
      <c r="Z108" s="5" t="s">
        <v>2200</v>
      </c>
      <c r="AA108" s="5" t="s">
        <v>2201</v>
      </c>
      <c r="AB108" s="5" t="s">
        <v>2202</v>
      </c>
      <c r="AC108" s="5" t="s">
        <v>21</v>
      </c>
      <c r="AD108" s="5" t="s">
        <v>21</v>
      </c>
      <c r="AE108" s="5" t="s">
        <v>21</v>
      </c>
      <c r="AF108" s="5">
        <v>117</v>
      </c>
      <c r="AG108" s="5">
        <v>33</v>
      </c>
      <c r="AH108" s="5">
        <v>36</v>
      </c>
      <c r="AI108" s="5">
        <v>8</v>
      </c>
      <c r="AJ108" s="5">
        <v>85</v>
      </c>
      <c r="AK108" s="5" t="s">
        <v>1623</v>
      </c>
      <c r="AL108" s="5" t="s">
        <v>1624</v>
      </c>
      <c r="AM108" s="5" t="s">
        <v>1625</v>
      </c>
      <c r="AN108" s="5" t="s">
        <v>2138</v>
      </c>
      <c r="AO108" s="5" t="s">
        <v>2139</v>
      </c>
      <c r="AP108" s="5" t="s">
        <v>21</v>
      </c>
      <c r="AQ108" s="5" t="s">
        <v>2140</v>
      </c>
      <c r="AR108" s="5" t="s">
        <v>2141</v>
      </c>
      <c r="AS108" s="5" t="s">
        <v>89</v>
      </c>
      <c r="AT108" s="5">
        <v>2022</v>
      </c>
      <c r="AU108" s="5">
        <v>9</v>
      </c>
      <c r="AV108" s="5">
        <v>2</v>
      </c>
      <c r="AW108" s="5" t="s">
        <v>21</v>
      </c>
      <c r="AX108" s="5" t="s">
        <v>21</v>
      </c>
      <c r="AY108" s="5" t="s">
        <v>21</v>
      </c>
      <c r="AZ108" s="5" t="s">
        <v>21</v>
      </c>
      <c r="BA108" s="5">
        <v>160</v>
      </c>
      <c r="BB108" s="5">
        <v>183</v>
      </c>
      <c r="BC108" s="5" t="s">
        <v>21</v>
      </c>
      <c r="BD108" s="5" t="s">
        <v>2203</v>
      </c>
      <c r="BE108" s="5" t="str">
        <f>HYPERLINK("http://dx.doi.org/10.1007/s40489-020-00230-x","http://dx.doi.org/10.1007/s40489-020-00230-x")</f>
        <v>http://dx.doi.org/10.1007/s40489-020-00230-x</v>
      </c>
      <c r="BF108" s="5" t="s">
        <v>21</v>
      </c>
      <c r="BG108" s="5" t="s">
        <v>2023</v>
      </c>
      <c r="BH108" s="5">
        <v>24</v>
      </c>
      <c r="BI108" s="5" t="s">
        <v>44</v>
      </c>
      <c r="BJ108" s="5" t="s">
        <v>45</v>
      </c>
      <c r="BK108" s="5" t="s">
        <v>46</v>
      </c>
      <c r="BL108" s="5" t="s">
        <v>2204</v>
      </c>
      <c r="BM108" s="5" t="s">
        <v>21</v>
      </c>
      <c r="BN108" s="5" t="s">
        <v>2205</v>
      </c>
      <c r="BO108" s="5" t="s">
        <v>21</v>
      </c>
      <c r="BP108" s="5" t="s">
        <v>21</v>
      </c>
      <c r="BQ108" s="5" t="s">
        <v>49</v>
      </c>
      <c r="BR108" s="5" t="s">
        <v>2206</v>
      </c>
      <c r="BS108" s="5" t="str">
        <f>HYPERLINK("https%3A%2F%2Fwww.webofscience.com%2Fwos%2Fwoscc%2Ffull-record%2FWOS:000659411000001","View Full Record in Web of Science")</f>
        <v>View Full Record in Web of Science</v>
      </c>
    </row>
    <row r="109" spans="1:71" x14ac:dyDescent="0.25">
      <c r="A109" t="s">
        <v>19</v>
      </c>
      <c r="B109" s="5" t="s">
        <v>2207</v>
      </c>
      <c r="C109" s="5" t="s">
        <v>21</v>
      </c>
      <c r="D109" s="5" t="s">
        <v>21</v>
      </c>
      <c r="E109" s="5" t="s">
        <v>21</v>
      </c>
      <c r="F109" s="5" t="s">
        <v>2208</v>
      </c>
      <c r="G109" s="5" t="s">
        <v>21</v>
      </c>
      <c r="H109" s="5" t="s">
        <v>21</v>
      </c>
      <c r="I109" s="5" t="s">
        <v>2209</v>
      </c>
      <c r="J109" s="12" t="s">
        <v>414</v>
      </c>
      <c r="K109" s="5" t="s">
        <v>21</v>
      </c>
      <c r="L109" s="5" t="s">
        <v>21</v>
      </c>
      <c r="M109" s="5" t="s">
        <v>25</v>
      </c>
      <c r="N109" s="5" t="s">
        <v>26</v>
      </c>
      <c r="O109" s="5" t="s">
        <v>21</v>
      </c>
      <c r="P109" s="5" t="s">
        <v>21</v>
      </c>
      <c r="Q109" s="5" t="s">
        <v>21</v>
      </c>
      <c r="R109" s="5" t="s">
        <v>21</v>
      </c>
      <c r="S109" s="5" t="s">
        <v>21</v>
      </c>
      <c r="T109" s="5" t="s">
        <v>2210</v>
      </c>
      <c r="U109" s="5" t="s">
        <v>2211</v>
      </c>
      <c r="V109" s="5" t="s">
        <v>2212</v>
      </c>
      <c r="W109" s="5" t="s">
        <v>2213</v>
      </c>
      <c r="X109" s="5" t="s">
        <v>2214</v>
      </c>
      <c r="Y109" s="5" t="s">
        <v>2215</v>
      </c>
      <c r="Z109" s="5" t="s">
        <v>1692</v>
      </c>
      <c r="AA109" s="5" t="s">
        <v>2216</v>
      </c>
      <c r="AB109" s="5" t="s">
        <v>2217</v>
      </c>
      <c r="AC109" s="5" t="s">
        <v>1695</v>
      </c>
      <c r="AD109" s="5" t="s">
        <v>1696</v>
      </c>
      <c r="AE109" s="5" t="s">
        <v>2218</v>
      </c>
      <c r="AF109" s="5">
        <v>55</v>
      </c>
      <c r="AG109" s="5">
        <v>33</v>
      </c>
      <c r="AH109" s="5">
        <v>35</v>
      </c>
      <c r="AI109" s="5">
        <v>14</v>
      </c>
      <c r="AJ109" s="5">
        <v>87</v>
      </c>
      <c r="AK109" s="5" t="s">
        <v>424</v>
      </c>
      <c r="AL109" s="5" t="s">
        <v>84</v>
      </c>
      <c r="AM109" s="5" t="s">
        <v>2219</v>
      </c>
      <c r="AN109" s="5" t="s">
        <v>427</v>
      </c>
      <c r="AO109" s="5" t="s">
        <v>428</v>
      </c>
      <c r="AP109" s="5" t="s">
        <v>21</v>
      </c>
      <c r="AQ109" s="5" t="s">
        <v>429</v>
      </c>
      <c r="AR109" s="5" t="s">
        <v>430</v>
      </c>
      <c r="AS109" s="5" t="s">
        <v>176</v>
      </c>
      <c r="AT109" s="5">
        <v>2020</v>
      </c>
      <c r="AU109" s="5">
        <v>71</v>
      </c>
      <c r="AV109" s="5" t="s">
        <v>21</v>
      </c>
      <c r="AW109" s="5" t="s">
        <v>21</v>
      </c>
      <c r="AX109" s="5" t="s">
        <v>21</v>
      </c>
      <c r="AY109" s="5" t="s">
        <v>21</v>
      </c>
      <c r="AZ109" s="5" t="s">
        <v>21</v>
      </c>
      <c r="BA109" s="5" t="s">
        <v>21</v>
      </c>
      <c r="BB109" s="5" t="s">
        <v>21</v>
      </c>
      <c r="BC109" s="5">
        <v>101498</v>
      </c>
      <c r="BD109" s="5" t="s">
        <v>2220</v>
      </c>
      <c r="BE109" s="5" t="str">
        <f>HYPERLINK("http://dx.doi.org/10.1016/j.rasd.2019.101498","http://dx.doi.org/10.1016/j.rasd.2019.101498")</f>
        <v>http://dx.doi.org/10.1016/j.rasd.2019.101498</v>
      </c>
      <c r="BF109" s="5" t="s">
        <v>21</v>
      </c>
      <c r="BG109" s="5" t="s">
        <v>21</v>
      </c>
      <c r="BH109" s="5">
        <v>14</v>
      </c>
      <c r="BI109" s="5" t="s">
        <v>433</v>
      </c>
      <c r="BJ109" s="5" t="s">
        <v>45</v>
      </c>
      <c r="BK109" s="5" t="s">
        <v>434</v>
      </c>
      <c r="BL109" s="5" t="s">
        <v>2221</v>
      </c>
      <c r="BM109" s="5">
        <v>34667480</v>
      </c>
      <c r="BN109" s="5" t="s">
        <v>137</v>
      </c>
      <c r="BO109" s="5" t="s">
        <v>21</v>
      </c>
      <c r="BP109" s="5" t="s">
        <v>21</v>
      </c>
      <c r="BQ109" s="5" t="s">
        <v>49</v>
      </c>
      <c r="BR109" s="5" t="s">
        <v>2222</v>
      </c>
      <c r="BS109" s="5" t="str">
        <f>HYPERLINK("https%3A%2F%2Fwww.webofscience.com%2Fwos%2Fwoscc%2Ffull-record%2FWOS:000515213200004","View Full Record in Web of Science")</f>
        <v>View Full Record in Web of Science</v>
      </c>
    </row>
    <row r="110" spans="1:71" x14ac:dyDescent="0.25">
      <c r="A110" t="s">
        <v>19</v>
      </c>
      <c r="B110" s="5" t="s">
        <v>2223</v>
      </c>
      <c r="C110" s="5" t="s">
        <v>21</v>
      </c>
      <c r="D110" s="5" t="s">
        <v>21</v>
      </c>
      <c r="E110" s="5" t="s">
        <v>21</v>
      </c>
      <c r="F110" s="5" t="s">
        <v>2224</v>
      </c>
      <c r="G110" s="5" t="s">
        <v>21</v>
      </c>
      <c r="H110" s="5" t="s">
        <v>21</v>
      </c>
      <c r="I110" s="5" t="s">
        <v>2225</v>
      </c>
      <c r="J110" s="12" t="s">
        <v>1443</v>
      </c>
      <c r="K110" s="5" t="s">
        <v>21</v>
      </c>
      <c r="L110" s="5" t="s">
        <v>21</v>
      </c>
      <c r="M110" s="5" t="s">
        <v>25</v>
      </c>
      <c r="N110" s="5" t="s">
        <v>26</v>
      </c>
      <c r="O110" s="5" t="s">
        <v>21</v>
      </c>
      <c r="P110" s="5" t="s">
        <v>21</v>
      </c>
      <c r="Q110" s="5" t="s">
        <v>21</v>
      </c>
      <c r="R110" s="5" t="s">
        <v>21</v>
      </c>
      <c r="S110" s="5" t="s">
        <v>21</v>
      </c>
      <c r="T110" s="5" t="s">
        <v>2226</v>
      </c>
      <c r="U110" s="5" t="s">
        <v>2227</v>
      </c>
      <c r="V110" s="5" t="s">
        <v>2228</v>
      </c>
      <c r="W110" s="5" t="s">
        <v>2229</v>
      </c>
      <c r="X110" s="5" t="s">
        <v>874</v>
      </c>
      <c r="Y110" s="5" t="s">
        <v>2230</v>
      </c>
      <c r="Z110" s="5" t="s">
        <v>490</v>
      </c>
      <c r="AA110" s="5" t="s">
        <v>21</v>
      </c>
      <c r="AB110" s="5" t="s">
        <v>2231</v>
      </c>
      <c r="AC110" s="5" t="s">
        <v>21</v>
      </c>
      <c r="AD110" s="5" t="s">
        <v>21</v>
      </c>
      <c r="AE110" s="5" t="s">
        <v>21</v>
      </c>
      <c r="AF110" s="5">
        <v>37</v>
      </c>
      <c r="AG110" s="5">
        <v>33</v>
      </c>
      <c r="AH110" s="5">
        <v>35</v>
      </c>
      <c r="AI110" s="5">
        <v>8</v>
      </c>
      <c r="AJ110" s="5">
        <v>79</v>
      </c>
      <c r="AK110" s="5" t="s">
        <v>493</v>
      </c>
      <c r="AL110" s="5" t="s">
        <v>494</v>
      </c>
      <c r="AM110" s="5" t="s">
        <v>495</v>
      </c>
      <c r="AN110" s="5" t="s">
        <v>1453</v>
      </c>
      <c r="AO110" s="5" t="s">
        <v>1454</v>
      </c>
      <c r="AP110" s="5" t="s">
        <v>21</v>
      </c>
      <c r="AQ110" s="5" t="s">
        <v>1455</v>
      </c>
      <c r="AR110" s="5" t="s">
        <v>1456</v>
      </c>
      <c r="AS110" s="5" t="s">
        <v>134</v>
      </c>
      <c r="AT110" s="5">
        <v>2016</v>
      </c>
      <c r="AU110" s="5">
        <v>24</v>
      </c>
      <c r="AV110" s="5">
        <v>7</v>
      </c>
      <c r="AW110" s="5" t="s">
        <v>21</v>
      </c>
      <c r="AX110" s="5" t="s">
        <v>21</v>
      </c>
      <c r="AY110" s="5" t="s">
        <v>21</v>
      </c>
      <c r="AZ110" s="5" t="s">
        <v>21</v>
      </c>
      <c r="BA110" s="5">
        <v>1511</v>
      </c>
      <c r="BB110" s="5">
        <v>1533</v>
      </c>
      <c r="BC110" s="5" t="s">
        <v>21</v>
      </c>
      <c r="BD110" s="5" t="s">
        <v>2232</v>
      </c>
      <c r="BE110" s="5" t="str">
        <f>HYPERLINK("http://dx.doi.org/10.1080/10494820.2015.1040421","http://dx.doi.org/10.1080/10494820.2015.1040421")</f>
        <v>http://dx.doi.org/10.1080/10494820.2015.1040421</v>
      </c>
      <c r="BF110" s="5" t="s">
        <v>21</v>
      </c>
      <c r="BG110" s="5" t="s">
        <v>21</v>
      </c>
      <c r="BH110" s="5">
        <v>23</v>
      </c>
      <c r="BI110" s="5" t="s">
        <v>503</v>
      </c>
      <c r="BJ110" s="5" t="s">
        <v>45</v>
      </c>
      <c r="BK110" s="5" t="s">
        <v>503</v>
      </c>
      <c r="BL110" s="5" t="s">
        <v>2233</v>
      </c>
      <c r="BM110" s="5" t="s">
        <v>21</v>
      </c>
      <c r="BN110" s="5" t="s">
        <v>21</v>
      </c>
      <c r="BO110" s="5" t="s">
        <v>21</v>
      </c>
      <c r="BP110" s="5" t="s">
        <v>21</v>
      </c>
      <c r="BQ110" s="5" t="s">
        <v>49</v>
      </c>
      <c r="BR110" s="5" t="s">
        <v>2234</v>
      </c>
      <c r="BS110" s="5" t="str">
        <f>HYPERLINK("https%3A%2F%2Fwww.webofscience.com%2Fwos%2Fwoscc%2Ffull-record%2FWOS:000386675300009","View Full Record in Web of Science")</f>
        <v>View Full Record in Web of Science</v>
      </c>
    </row>
    <row r="111" spans="1:71" x14ac:dyDescent="0.25">
      <c r="A111" t="s">
        <v>19</v>
      </c>
      <c r="B111" s="5" t="s">
        <v>2235</v>
      </c>
      <c r="C111" s="5" t="s">
        <v>21</v>
      </c>
      <c r="D111" s="5" t="s">
        <v>21</v>
      </c>
      <c r="E111" s="5" t="s">
        <v>21</v>
      </c>
      <c r="F111" s="5" t="s">
        <v>2236</v>
      </c>
      <c r="G111" s="5" t="s">
        <v>21</v>
      </c>
      <c r="H111" s="5" t="s">
        <v>21</v>
      </c>
      <c r="I111" s="5" t="s">
        <v>2237</v>
      </c>
      <c r="J111" s="12" t="s">
        <v>697</v>
      </c>
      <c r="K111" s="5" t="s">
        <v>21</v>
      </c>
      <c r="L111" s="5" t="s">
        <v>21</v>
      </c>
      <c r="M111" s="5" t="s">
        <v>25</v>
      </c>
      <c r="N111" s="5" t="s">
        <v>26</v>
      </c>
      <c r="O111" s="5" t="s">
        <v>21</v>
      </c>
      <c r="P111" s="5" t="s">
        <v>21</v>
      </c>
      <c r="Q111" s="5" t="s">
        <v>21</v>
      </c>
      <c r="R111" s="5" t="s">
        <v>21</v>
      </c>
      <c r="S111" s="5" t="s">
        <v>21</v>
      </c>
      <c r="T111" s="5" t="s">
        <v>2238</v>
      </c>
      <c r="U111" s="5" t="s">
        <v>2239</v>
      </c>
      <c r="V111" s="5" t="s">
        <v>2240</v>
      </c>
      <c r="W111" s="5" t="s">
        <v>2241</v>
      </c>
      <c r="X111" s="5" t="s">
        <v>2242</v>
      </c>
      <c r="Y111" s="5" t="s">
        <v>2243</v>
      </c>
      <c r="Z111" s="5" t="s">
        <v>2244</v>
      </c>
      <c r="AA111" s="5" t="s">
        <v>62</v>
      </c>
      <c r="AB111" s="5" t="s">
        <v>21</v>
      </c>
      <c r="AC111" s="5" t="s">
        <v>2245</v>
      </c>
      <c r="AD111" s="5" t="s">
        <v>2246</v>
      </c>
      <c r="AE111" s="5" t="s">
        <v>2247</v>
      </c>
      <c r="AF111" s="5">
        <v>69</v>
      </c>
      <c r="AG111" s="5">
        <v>33</v>
      </c>
      <c r="AH111" s="5">
        <v>33</v>
      </c>
      <c r="AI111" s="5">
        <v>3</v>
      </c>
      <c r="AJ111" s="5">
        <v>71</v>
      </c>
      <c r="AK111" s="5" t="s">
        <v>659</v>
      </c>
      <c r="AL111" s="5" t="s">
        <v>660</v>
      </c>
      <c r="AM111" s="5" t="s">
        <v>661</v>
      </c>
      <c r="AN111" s="5" t="s">
        <v>710</v>
      </c>
      <c r="AO111" s="5" t="s">
        <v>21</v>
      </c>
      <c r="AP111" s="5" t="s">
        <v>21</v>
      </c>
      <c r="AQ111" s="5" t="s">
        <v>711</v>
      </c>
      <c r="AR111" s="5" t="s">
        <v>712</v>
      </c>
      <c r="AS111" s="5" t="s">
        <v>844</v>
      </c>
      <c r="AT111" s="5">
        <v>2014</v>
      </c>
      <c r="AU111" s="5">
        <v>5</v>
      </c>
      <c r="AV111" s="5">
        <v>3</v>
      </c>
      <c r="AW111" s="5" t="s">
        <v>21</v>
      </c>
      <c r="AX111" s="5" t="s">
        <v>21</v>
      </c>
      <c r="AY111" s="5" t="s">
        <v>21</v>
      </c>
      <c r="AZ111" s="5" t="s">
        <v>21</v>
      </c>
      <c r="BA111" s="5">
        <v>238</v>
      </c>
      <c r="BB111" s="5">
        <v>250</v>
      </c>
      <c r="BC111" s="5" t="s">
        <v>21</v>
      </c>
      <c r="BD111" s="5" t="s">
        <v>2248</v>
      </c>
      <c r="BE111" s="5" t="str">
        <f>HYPERLINK("http://dx.doi.org/10.1109/TAFFC.2014.2335740","http://dx.doi.org/10.1109/TAFFC.2014.2335740")</f>
        <v>http://dx.doi.org/10.1109/TAFFC.2014.2335740</v>
      </c>
      <c r="BF111" s="5" t="s">
        <v>21</v>
      </c>
      <c r="BG111" s="5" t="s">
        <v>21</v>
      </c>
      <c r="BH111" s="5">
        <v>13</v>
      </c>
      <c r="BI111" s="5" t="s">
        <v>714</v>
      </c>
      <c r="BJ111" s="5" t="s">
        <v>92</v>
      </c>
      <c r="BK111" s="5" t="s">
        <v>715</v>
      </c>
      <c r="BL111" s="5" t="s">
        <v>2249</v>
      </c>
      <c r="BM111" s="5" t="s">
        <v>21</v>
      </c>
      <c r="BN111" s="5" t="s">
        <v>21</v>
      </c>
      <c r="BO111" s="5" t="s">
        <v>21</v>
      </c>
      <c r="BP111" s="5" t="s">
        <v>21</v>
      </c>
      <c r="BQ111" s="5" t="s">
        <v>49</v>
      </c>
      <c r="BR111" s="5" t="s">
        <v>2250</v>
      </c>
      <c r="BS111" s="5" t="str">
        <f>HYPERLINK("https%3A%2F%2Fwww.webofscience.com%2Fwos%2Fwoscc%2Ffull-record%2FWOS:000344589600005","View Full Record in Web of Science")</f>
        <v>View Full Record in Web of Science</v>
      </c>
    </row>
    <row r="112" spans="1:71" x14ac:dyDescent="0.25">
      <c r="A112" t="s">
        <v>19</v>
      </c>
      <c r="B112" s="5" t="s">
        <v>437</v>
      </c>
      <c r="C112" s="5" t="s">
        <v>21</v>
      </c>
      <c r="D112" s="5" t="s">
        <v>21</v>
      </c>
      <c r="E112" s="5" t="s">
        <v>21</v>
      </c>
      <c r="F112" s="5" t="s">
        <v>438</v>
      </c>
      <c r="G112" s="5" t="s">
        <v>21</v>
      </c>
      <c r="H112" s="5" t="s">
        <v>21</v>
      </c>
      <c r="I112" s="5" t="s">
        <v>2251</v>
      </c>
      <c r="J112" s="12" t="s">
        <v>2252</v>
      </c>
      <c r="K112" s="5" t="s">
        <v>21</v>
      </c>
      <c r="L112" s="5" t="s">
        <v>21</v>
      </c>
      <c r="M112" s="5" t="s">
        <v>25</v>
      </c>
      <c r="N112" s="5" t="s">
        <v>26</v>
      </c>
      <c r="O112" s="5" t="s">
        <v>21</v>
      </c>
      <c r="P112" s="5" t="s">
        <v>21</v>
      </c>
      <c r="Q112" s="5" t="s">
        <v>21</v>
      </c>
      <c r="R112" s="5" t="s">
        <v>21</v>
      </c>
      <c r="S112" s="5" t="s">
        <v>21</v>
      </c>
      <c r="T112" s="5" t="s">
        <v>21</v>
      </c>
      <c r="U112" s="5" t="s">
        <v>2253</v>
      </c>
      <c r="V112" s="5" t="s">
        <v>2254</v>
      </c>
      <c r="W112" s="5" t="s">
        <v>2255</v>
      </c>
      <c r="X112" s="5" t="s">
        <v>2256</v>
      </c>
      <c r="Y112" s="5" t="s">
        <v>2257</v>
      </c>
      <c r="Z112" s="5" t="s">
        <v>447</v>
      </c>
      <c r="AA112" s="5" t="s">
        <v>448</v>
      </c>
      <c r="AB112" s="5" t="s">
        <v>21</v>
      </c>
      <c r="AC112" s="5" t="s">
        <v>2258</v>
      </c>
      <c r="AD112" s="5" t="s">
        <v>2259</v>
      </c>
      <c r="AE112" s="5" t="s">
        <v>2260</v>
      </c>
      <c r="AF112" s="5">
        <v>34</v>
      </c>
      <c r="AG112" s="5">
        <v>32</v>
      </c>
      <c r="AH112" s="5">
        <v>33</v>
      </c>
      <c r="AI112" s="5">
        <v>4</v>
      </c>
      <c r="AJ112" s="5">
        <v>38</v>
      </c>
      <c r="AK112" s="5" t="s">
        <v>2261</v>
      </c>
      <c r="AL112" s="5" t="s">
        <v>64</v>
      </c>
      <c r="AM112" s="5" t="s">
        <v>2262</v>
      </c>
      <c r="AN112" s="5" t="s">
        <v>2263</v>
      </c>
      <c r="AO112" s="5" t="s">
        <v>21</v>
      </c>
      <c r="AP112" s="5" t="s">
        <v>21</v>
      </c>
      <c r="AQ112" s="5" t="s">
        <v>2264</v>
      </c>
      <c r="AR112" s="5" t="s">
        <v>2265</v>
      </c>
      <c r="AS112" s="5" t="s">
        <v>21</v>
      </c>
      <c r="AT112" s="5">
        <v>2013</v>
      </c>
      <c r="AU112" s="5" t="s">
        <v>21</v>
      </c>
      <c r="AV112" s="5" t="s">
        <v>21</v>
      </c>
      <c r="AW112" s="5" t="s">
        <v>21</v>
      </c>
      <c r="AX112" s="5" t="s">
        <v>21</v>
      </c>
      <c r="AY112" s="5" t="s">
        <v>21</v>
      </c>
      <c r="AZ112" s="5" t="s">
        <v>21</v>
      </c>
      <c r="BA112" s="5" t="s">
        <v>21</v>
      </c>
      <c r="BB112" s="5" t="s">
        <v>21</v>
      </c>
      <c r="BC112" s="5">
        <v>716890</v>
      </c>
      <c r="BD112" s="5" t="s">
        <v>2266</v>
      </c>
      <c r="BE112" s="5" t="str">
        <f>HYPERLINK("http://dx.doi.org/10.1155/2013/716890","http://dx.doi.org/10.1155/2013/716890")</f>
        <v>http://dx.doi.org/10.1155/2013/716890</v>
      </c>
      <c r="BF112" s="5" t="s">
        <v>21</v>
      </c>
      <c r="BG112" s="5" t="s">
        <v>21</v>
      </c>
      <c r="BH112" s="5">
        <v>9</v>
      </c>
      <c r="BI112" s="5" t="s">
        <v>568</v>
      </c>
      <c r="BJ112" s="5" t="s">
        <v>92</v>
      </c>
      <c r="BK112" s="5" t="s">
        <v>569</v>
      </c>
      <c r="BL112" s="5" t="s">
        <v>2267</v>
      </c>
      <c r="BM112" s="5">
        <v>24324379</v>
      </c>
      <c r="BN112" s="5" t="s">
        <v>163</v>
      </c>
      <c r="BO112" s="5" t="s">
        <v>21</v>
      </c>
      <c r="BP112" s="5" t="s">
        <v>21</v>
      </c>
      <c r="BQ112" s="5" t="s">
        <v>49</v>
      </c>
      <c r="BR112" s="5" t="s">
        <v>2268</v>
      </c>
      <c r="BS112" s="5" t="str">
        <f>HYPERLINK("https%3A%2F%2Fwww.webofscience.com%2Fwos%2Fwoscc%2Ffull-record%2FWOS:000327334300001","View Full Record in Web of Science")</f>
        <v>View Full Record in Web of Science</v>
      </c>
    </row>
    <row r="113" spans="1:71" x14ac:dyDescent="0.25">
      <c r="A113" t="s">
        <v>19</v>
      </c>
      <c r="B113" s="5" t="s">
        <v>2269</v>
      </c>
      <c r="C113" s="5" t="s">
        <v>21</v>
      </c>
      <c r="D113" s="5" t="s">
        <v>21</v>
      </c>
      <c r="E113" s="5" t="s">
        <v>21</v>
      </c>
      <c r="F113" s="5" t="s">
        <v>2270</v>
      </c>
      <c r="G113" s="5" t="s">
        <v>21</v>
      </c>
      <c r="H113" s="5" t="s">
        <v>21</v>
      </c>
      <c r="I113" s="5" t="s">
        <v>2271</v>
      </c>
      <c r="J113" s="12" t="s">
        <v>2272</v>
      </c>
      <c r="K113" s="5" t="s">
        <v>21</v>
      </c>
      <c r="L113" s="5" t="s">
        <v>21</v>
      </c>
      <c r="M113" s="5" t="s">
        <v>25</v>
      </c>
      <c r="N113" s="5" t="s">
        <v>76</v>
      </c>
      <c r="O113" s="5" t="s">
        <v>21</v>
      </c>
      <c r="P113" s="5" t="s">
        <v>21</v>
      </c>
      <c r="Q113" s="5" t="s">
        <v>21</v>
      </c>
      <c r="R113" s="5" t="s">
        <v>21</v>
      </c>
      <c r="S113" s="5" t="s">
        <v>21</v>
      </c>
      <c r="T113" s="5" t="s">
        <v>2273</v>
      </c>
      <c r="U113" s="5" t="s">
        <v>2274</v>
      </c>
      <c r="V113" s="5" t="s">
        <v>2275</v>
      </c>
      <c r="W113" s="5" t="s">
        <v>2276</v>
      </c>
      <c r="X113" s="5" t="s">
        <v>2277</v>
      </c>
      <c r="Y113" s="5" t="s">
        <v>2278</v>
      </c>
      <c r="Z113" s="5" t="s">
        <v>2279</v>
      </c>
      <c r="AA113" s="5" t="s">
        <v>2280</v>
      </c>
      <c r="AB113" s="5" t="s">
        <v>21</v>
      </c>
      <c r="AC113" s="5" t="s">
        <v>2281</v>
      </c>
      <c r="AD113" s="5" t="s">
        <v>2282</v>
      </c>
      <c r="AE113" s="5" t="s">
        <v>2283</v>
      </c>
      <c r="AF113" s="5">
        <v>122</v>
      </c>
      <c r="AG113" s="5">
        <v>31</v>
      </c>
      <c r="AH113" s="5">
        <v>31</v>
      </c>
      <c r="AI113" s="5">
        <v>13</v>
      </c>
      <c r="AJ113" s="5">
        <v>81</v>
      </c>
      <c r="AK113" s="5" t="s">
        <v>153</v>
      </c>
      <c r="AL113" s="5" t="s">
        <v>154</v>
      </c>
      <c r="AM113" s="5" t="s">
        <v>155</v>
      </c>
      <c r="AN113" s="5" t="s">
        <v>21</v>
      </c>
      <c r="AO113" s="5" t="s">
        <v>2284</v>
      </c>
      <c r="AP113" s="5" t="s">
        <v>21</v>
      </c>
      <c r="AQ113" s="5" t="s">
        <v>2285</v>
      </c>
      <c r="AR113" s="5" t="s">
        <v>2286</v>
      </c>
      <c r="AS113" s="5" t="s">
        <v>2287</v>
      </c>
      <c r="AT113" s="5">
        <v>2023</v>
      </c>
      <c r="AU113" s="5">
        <v>11</v>
      </c>
      <c r="AV113" s="5" t="s">
        <v>21</v>
      </c>
      <c r="AW113" s="5" t="s">
        <v>21</v>
      </c>
      <c r="AX113" s="5" t="s">
        <v>21</v>
      </c>
      <c r="AY113" s="5" t="s">
        <v>21</v>
      </c>
      <c r="AZ113" s="5" t="s">
        <v>21</v>
      </c>
      <c r="BA113" s="5" t="s">
        <v>21</v>
      </c>
      <c r="BB113" s="5" t="s">
        <v>21</v>
      </c>
      <c r="BC113" s="5">
        <v>1143947</v>
      </c>
      <c r="BD113" s="5" t="s">
        <v>2288</v>
      </c>
      <c r="BE113" s="5" t="str">
        <f>HYPERLINK("http://dx.doi.org/10.3389/fpubh.2023.1143947","http://dx.doi.org/10.3389/fpubh.2023.1143947")</f>
        <v>http://dx.doi.org/10.3389/fpubh.2023.1143947</v>
      </c>
      <c r="BF113" s="5" t="s">
        <v>21</v>
      </c>
      <c r="BG113" s="5" t="s">
        <v>21</v>
      </c>
      <c r="BH113" s="5">
        <v>14</v>
      </c>
      <c r="BI113" s="5" t="s">
        <v>523</v>
      </c>
      <c r="BJ113" s="5" t="s">
        <v>92</v>
      </c>
      <c r="BK113" s="5" t="s">
        <v>523</v>
      </c>
      <c r="BL113" s="5" t="s">
        <v>2289</v>
      </c>
      <c r="BM113" s="5">
        <v>37033028</v>
      </c>
      <c r="BN113" s="5" t="s">
        <v>163</v>
      </c>
      <c r="BO113" s="5" t="s">
        <v>21</v>
      </c>
      <c r="BP113" s="5" t="s">
        <v>21</v>
      </c>
      <c r="BQ113" s="5" t="s">
        <v>49</v>
      </c>
      <c r="BR113" s="5" t="s">
        <v>2290</v>
      </c>
      <c r="BS113" s="5" t="str">
        <f>HYPERLINK("https%3A%2F%2Fwww.webofscience.com%2Fwos%2Fwoscc%2Ffull-record%2FWOS:000964023600001","View Full Record in Web of Science")</f>
        <v>View Full Record in Web of Science</v>
      </c>
    </row>
    <row r="114" spans="1:71" x14ac:dyDescent="0.25">
      <c r="A114" t="s">
        <v>19</v>
      </c>
      <c r="B114" s="5" t="s">
        <v>1651</v>
      </c>
      <c r="C114" s="5" t="s">
        <v>21</v>
      </c>
      <c r="D114" s="5" t="s">
        <v>21</v>
      </c>
      <c r="E114" s="5" t="s">
        <v>21</v>
      </c>
      <c r="F114" s="5" t="s">
        <v>1652</v>
      </c>
      <c r="G114" s="5" t="s">
        <v>21</v>
      </c>
      <c r="H114" s="5" t="s">
        <v>21</v>
      </c>
      <c r="I114" s="5" t="s">
        <v>2291</v>
      </c>
      <c r="J114" s="12" t="s">
        <v>646</v>
      </c>
      <c r="K114" s="5" t="s">
        <v>21</v>
      </c>
      <c r="L114" s="5" t="s">
        <v>21</v>
      </c>
      <c r="M114" s="5" t="s">
        <v>25</v>
      </c>
      <c r="N114" s="5" t="s">
        <v>26</v>
      </c>
      <c r="O114" s="5" t="s">
        <v>21</v>
      </c>
      <c r="P114" s="5" t="s">
        <v>21</v>
      </c>
      <c r="Q114" s="5" t="s">
        <v>21</v>
      </c>
      <c r="R114" s="5" t="s">
        <v>21</v>
      </c>
      <c r="S114" s="5" t="s">
        <v>21</v>
      </c>
      <c r="T114" s="5" t="s">
        <v>2292</v>
      </c>
      <c r="U114" s="5" t="s">
        <v>2293</v>
      </c>
      <c r="V114" s="5" t="s">
        <v>2294</v>
      </c>
      <c r="W114" s="5" t="s">
        <v>2295</v>
      </c>
      <c r="X114" s="5" t="s">
        <v>1658</v>
      </c>
      <c r="Y114" s="5" t="s">
        <v>2296</v>
      </c>
      <c r="Z114" s="5" t="s">
        <v>1660</v>
      </c>
      <c r="AA114" s="5" t="s">
        <v>1661</v>
      </c>
      <c r="AB114" s="5" t="s">
        <v>1662</v>
      </c>
      <c r="AC114" s="5" t="s">
        <v>1663</v>
      </c>
      <c r="AD114" s="5" t="s">
        <v>1663</v>
      </c>
      <c r="AE114" s="5" t="s">
        <v>2297</v>
      </c>
      <c r="AF114" s="5">
        <v>38</v>
      </c>
      <c r="AG114" s="5">
        <v>31</v>
      </c>
      <c r="AH114" s="5">
        <v>34</v>
      </c>
      <c r="AI114" s="5">
        <v>8</v>
      </c>
      <c r="AJ114" s="5">
        <v>60</v>
      </c>
      <c r="AK114" s="5" t="s">
        <v>659</v>
      </c>
      <c r="AL114" s="5" t="s">
        <v>660</v>
      </c>
      <c r="AM114" s="5" t="s">
        <v>661</v>
      </c>
      <c r="AN114" s="5" t="s">
        <v>662</v>
      </c>
      <c r="AO114" s="5" t="s">
        <v>663</v>
      </c>
      <c r="AP114" s="5" t="s">
        <v>21</v>
      </c>
      <c r="AQ114" s="5" t="s">
        <v>664</v>
      </c>
      <c r="AR114" s="5" t="s">
        <v>665</v>
      </c>
      <c r="AS114" s="5" t="s">
        <v>199</v>
      </c>
      <c r="AT114" s="5">
        <v>2017</v>
      </c>
      <c r="AU114" s="5">
        <v>25</v>
      </c>
      <c r="AV114" s="5">
        <v>8</v>
      </c>
      <c r="AW114" s="5" t="s">
        <v>21</v>
      </c>
      <c r="AX114" s="5" t="s">
        <v>21</v>
      </c>
      <c r="AY114" s="5" t="s">
        <v>21</v>
      </c>
      <c r="AZ114" s="5" t="s">
        <v>21</v>
      </c>
      <c r="BA114" s="5">
        <v>1180</v>
      </c>
      <c r="BB114" s="5">
        <v>1191</v>
      </c>
      <c r="BC114" s="5" t="s">
        <v>21</v>
      </c>
      <c r="BD114" s="5" t="s">
        <v>2298</v>
      </c>
      <c r="BE114" s="5" t="str">
        <f>HYPERLINK("http://dx.doi.org/10.1109/TNSRE.2016.2613879","http://dx.doi.org/10.1109/TNSRE.2016.2613879")</f>
        <v>http://dx.doi.org/10.1109/TNSRE.2016.2613879</v>
      </c>
      <c r="BF114" s="5" t="s">
        <v>21</v>
      </c>
      <c r="BG114" s="5" t="s">
        <v>21</v>
      </c>
      <c r="BH114" s="5">
        <v>12</v>
      </c>
      <c r="BI114" s="5" t="s">
        <v>667</v>
      </c>
      <c r="BJ114" s="5" t="s">
        <v>92</v>
      </c>
      <c r="BK114" s="5" t="s">
        <v>668</v>
      </c>
      <c r="BL114" s="5" t="s">
        <v>2299</v>
      </c>
      <c r="BM114" s="5">
        <v>28114071</v>
      </c>
      <c r="BN114" s="5" t="s">
        <v>21</v>
      </c>
      <c r="BO114" s="5" t="s">
        <v>21</v>
      </c>
      <c r="BP114" s="5" t="s">
        <v>21</v>
      </c>
      <c r="BQ114" s="5" t="s">
        <v>49</v>
      </c>
      <c r="BR114" s="5" t="s">
        <v>2300</v>
      </c>
      <c r="BS114" s="5" t="str">
        <f>HYPERLINK("https%3A%2F%2Fwww.webofscience.com%2Fwos%2Fwoscc%2Ffull-record%2FWOS:000407478000011","View Full Record in Web of Science")</f>
        <v>View Full Record in Web of Science</v>
      </c>
    </row>
    <row r="115" spans="1:71" x14ac:dyDescent="0.25">
      <c r="A115" t="s">
        <v>229</v>
      </c>
      <c r="B115" s="5" t="s">
        <v>2301</v>
      </c>
      <c r="C115" s="5" t="s">
        <v>21</v>
      </c>
      <c r="D115" s="5" t="s">
        <v>2302</v>
      </c>
      <c r="E115" s="5" t="s">
        <v>21</v>
      </c>
      <c r="F115" s="5" t="s">
        <v>2301</v>
      </c>
      <c r="G115" s="5" t="s">
        <v>21</v>
      </c>
      <c r="H115" s="5" t="s">
        <v>21</v>
      </c>
      <c r="I115" s="5" t="s">
        <v>2303</v>
      </c>
      <c r="J115" s="12" t="s">
        <v>2304</v>
      </c>
      <c r="K115" s="5" t="s">
        <v>2305</v>
      </c>
      <c r="L115" s="5" t="s">
        <v>21</v>
      </c>
      <c r="M115" s="5" t="s">
        <v>25</v>
      </c>
      <c r="N115" s="5" t="s">
        <v>236</v>
      </c>
      <c r="O115" s="5" t="s">
        <v>2306</v>
      </c>
      <c r="P115" s="5" t="s">
        <v>2307</v>
      </c>
      <c r="Q115" s="5" t="s">
        <v>2308</v>
      </c>
      <c r="R115" s="5" t="s">
        <v>21</v>
      </c>
      <c r="S115" s="5" t="s">
        <v>21</v>
      </c>
      <c r="T115" s="5" t="s">
        <v>21</v>
      </c>
      <c r="U115" s="5" t="s">
        <v>21</v>
      </c>
      <c r="V115" s="5" t="s">
        <v>2309</v>
      </c>
      <c r="W115" s="5" t="s">
        <v>2310</v>
      </c>
      <c r="X115" s="5" t="s">
        <v>2311</v>
      </c>
      <c r="Y115" s="5" t="s">
        <v>2312</v>
      </c>
      <c r="Z115" s="5" t="s">
        <v>2313</v>
      </c>
      <c r="AA115" s="5" t="s">
        <v>21</v>
      </c>
      <c r="AB115" s="5" t="s">
        <v>21</v>
      </c>
      <c r="AC115" s="5" t="s">
        <v>21</v>
      </c>
      <c r="AD115" s="5" t="s">
        <v>21</v>
      </c>
      <c r="AE115" s="5" t="s">
        <v>21</v>
      </c>
      <c r="AF115" s="5">
        <v>9</v>
      </c>
      <c r="AG115" s="5">
        <v>31</v>
      </c>
      <c r="AH115" s="5">
        <v>33</v>
      </c>
      <c r="AI115" s="5">
        <v>1</v>
      </c>
      <c r="AJ115" s="5">
        <v>9</v>
      </c>
      <c r="AK115" s="5" t="s">
        <v>2314</v>
      </c>
      <c r="AL115" s="5" t="s">
        <v>2315</v>
      </c>
      <c r="AM115" s="5" t="s">
        <v>2316</v>
      </c>
      <c r="AN115" s="5" t="s">
        <v>2317</v>
      </c>
      <c r="AO115" s="5" t="s">
        <v>2318</v>
      </c>
      <c r="AP115" s="5" t="s">
        <v>2319</v>
      </c>
      <c r="AQ115" s="5" t="s">
        <v>2320</v>
      </c>
      <c r="AR115" s="5" t="s">
        <v>21</v>
      </c>
      <c r="AS115" s="5" t="s">
        <v>21</v>
      </c>
      <c r="AT115" s="5">
        <v>2004</v>
      </c>
      <c r="AU115" s="5">
        <v>3118</v>
      </c>
      <c r="AV115" s="5" t="s">
        <v>21</v>
      </c>
      <c r="AW115" s="5" t="s">
        <v>21</v>
      </c>
      <c r="AX115" s="5" t="s">
        <v>21</v>
      </c>
      <c r="AY115" s="5" t="s">
        <v>21</v>
      </c>
      <c r="AZ115" s="5" t="s">
        <v>21</v>
      </c>
      <c r="BA115" s="5">
        <v>22</v>
      </c>
      <c r="BB115" s="5">
        <v>28</v>
      </c>
      <c r="BC115" s="5" t="s">
        <v>21</v>
      </c>
      <c r="BD115" s="5" t="s">
        <v>21</v>
      </c>
      <c r="BE115" s="5" t="s">
        <v>21</v>
      </c>
      <c r="BF115" s="5" t="s">
        <v>21</v>
      </c>
      <c r="BG115" s="5" t="s">
        <v>21</v>
      </c>
      <c r="BH115" s="5">
        <v>7</v>
      </c>
      <c r="BI115" s="5" t="s">
        <v>2321</v>
      </c>
      <c r="BJ115" s="5" t="s">
        <v>2322</v>
      </c>
      <c r="BK115" s="5" t="s">
        <v>2323</v>
      </c>
      <c r="BL115" s="5" t="s">
        <v>2324</v>
      </c>
      <c r="BM115" s="5" t="s">
        <v>21</v>
      </c>
      <c r="BN115" s="5" t="s">
        <v>21</v>
      </c>
      <c r="BO115" s="5" t="s">
        <v>21</v>
      </c>
      <c r="BP115" s="5" t="s">
        <v>21</v>
      </c>
      <c r="BQ115" s="5" t="s">
        <v>49</v>
      </c>
      <c r="BR115" s="5" t="s">
        <v>2325</v>
      </c>
      <c r="BS115" s="5" t="str">
        <f>HYPERLINK("https%3A%2F%2Fwww.webofscience.com%2Fwos%2Fwoscc%2Ffull-record%2FWOS:000222635100004","View Full Record in Web of Science")</f>
        <v>View Full Record in Web of Science</v>
      </c>
    </row>
    <row r="116" spans="1:71" x14ac:dyDescent="0.25">
      <c r="A116" t="s">
        <v>19</v>
      </c>
      <c r="B116" s="5" t="s">
        <v>2326</v>
      </c>
      <c r="C116" s="5" t="s">
        <v>21</v>
      </c>
      <c r="D116" s="5" t="s">
        <v>21</v>
      </c>
      <c r="E116" s="5" t="s">
        <v>21</v>
      </c>
      <c r="F116" s="5" t="s">
        <v>2327</v>
      </c>
      <c r="G116" s="5" t="s">
        <v>21</v>
      </c>
      <c r="H116" s="5" t="s">
        <v>21</v>
      </c>
      <c r="I116" s="5" t="s">
        <v>2328</v>
      </c>
      <c r="J116" s="12" t="s">
        <v>2329</v>
      </c>
      <c r="K116" s="5" t="s">
        <v>21</v>
      </c>
      <c r="L116" s="5" t="s">
        <v>21</v>
      </c>
      <c r="M116" s="5" t="s">
        <v>25</v>
      </c>
      <c r="N116" s="5" t="s">
        <v>26</v>
      </c>
      <c r="O116" s="5" t="s">
        <v>21</v>
      </c>
      <c r="P116" s="5" t="s">
        <v>21</v>
      </c>
      <c r="Q116" s="5" t="s">
        <v>21</v>
      </c>
      <c r="R116" s="5" t="s">
        <v>21</v>
      </c>
      <c r="S116" s="5" t="s">
        <v>21</v>
      </c>
      <c r="T116" s="5" t="s">
        <v>2330</v>
      </c>
      <c r="U116" s="5" t="s">
        <v>2331</v>
      </c>
      <c r="V116" s="5" t="s">
        <v>2332</v>
      </c>
      <c r="W116" s="5" t="s">
        <v>2333</v>
      </c>
      <c r="X116" s="5" t="s">
        <v>2334</v>
      </c>
      <c r="Y116" s="5" t="s">
        <v>2335</v>
      </c>
      <c r="Z116" s="5" t="s">
        <v>2336</v>
      </c>
      <c r="AA116" s="5" t="s">
        <v>2337</v>
      </c>
      <c r="AB116" s="5" t="s">
        <v>2338</v>
      </c>
      <c r="AC116" s="5" t="s">
        <v>2339</v>
      </c>
      <c r="AD116" s="5" t="s">
        <v>2340</v>
      </c>
      <c r="AE116" s="5" t="s">
        <v>2341</v>
      </c>
      <c r="AF116" s="5">
        <v>43</v>
      </c>
      <c r="AG116" s="5">
        <v>30</v>
      </c>
      <c r="AH116" s="5">
        <v>34</v>
      </c>
      <c r="AI116" s="5">
        <v>1</v>
      </c>
      <c r="AJ116" s="5">
        <v>21</v>
      </c>
      <c r="AK116" s="5" t="s">
        <v>153</v>
      </c>
      <c r="AL116" s="5" t="s">
        <v>154</v>
      </c>
      <c r="AM116" s="5" t="s">
        <v>155</v>
      </c>
      <c r="AN116" s="5" t="s">
        <v>2342</v>
      </c>
      <c r="AO116" s="5" t="s">
        <v>21</v>
      </c>
      <c r="AP116" s="5" t="s">
        <v>21</v>
      </c>
      <c r="AQ116" s="5" t="s">
        <v>2343</v>
      </c>
      <c r="AR116" s="5" t="s">
        <v>2344</v>
      </c>
      <c r="AS116" s="5" t="s">
        <v>2345</v>
      </c>
      <c r="AT116" s="5">
        <v>2018</v>
      </c>
      <c r="AU116" s="5">
        <v>9</v>
      </c>
      <c r="AV116" s="5" t="s">
        <v>21</v>
      </c>
      <c r="AW116" s="5" t="s">
        <v>21</v>
      </c>
      <c r="AX116" s="5" t="s">
        <v>21</v>
      </c>
      <c r="AY116" s="5" t="s">
        <v>21</v>
      </c>
      <c r="AZ116" s="5" t="s">
        <v>21</v>
      </c>
      <c r="BA116" s="5" t="s">
        <v>21</v>
      </c>
      <c r="BB116" s="5" t="s">
        <v>21</v>
      </c>
      <c r="BC116" s="5">
        <v>2530</v>
      </c>
      <c r="BD116" s="5" t="s">
        <v>2346</v>
      </c>
      <c r="BE116" s="5" t="str">
        <f>HYPERLINK("http://dx.doi.org/10.3389/fpsyg.2018.02530","http://dx.doi.org/10.3389/fpsyg.2018.02530")</f>
        <v>http://dx.doi.org/10.3389/fpsyg.2018.02530</v>
      </c>
      <c r="BF116" s="5" t="s">
        <v>21</v>
      </c>
      <c r="BG116" s="5" t="s">
        <v>21</v>
      </c>
      <c r="BH116" s="5">
        <v>13</v>
      </c>
      <c r="BI116" s="5" t="s">
        <v>825</v>
      </c>
      <c r="BJ116" s="5" t="s">
        <v>45</v>
      </c>
      <c r="BK116" s="5" t="s">
        <v>46</v>
      </c>
      <c r="BL116" s="5" t="s">
        <v>2347</v>
      </c>
      <c r="BM116" s="5">
        <v>30618953</v>
      </c>
      <c r="BN116" s="5" t="s">
        <v>864</v>
      </c>
      <c r="BO116" s="5" t="s">
        <v>21</v>
      </c>
      <c r="BP116" s="5" t="s">
        <v>21</v>
      </c>
      <c r="BQ116" s="5" t="s">
        <v>49</v>
      </c>
      <c r="BR116" s="5" t="s">
        <v>2348</v>
      </c>
      <c r="BS116" s="5" t="str">
        <f>HYPERLINK("https%3A%2F%2Fwww.webofscience.com%2Fwos%2Fwoscc%2Ffull-record%2FWOS:000452908300002","View Full Record in Web of Science")</f>
        <v>View Full Record in Web of Science</v>
      </c>
    </row>
    <row r="117" spans="1:71" x14ac:dyDescent="0.25">
      <c r="A117" t="s">
        <v>19</v>
      </c>
      <c r="B117" s="5" t="s">
        <v>2349</v>
      </c>
      <c r="C117" s="5" t="s">
        <v>21</v>
      </c>
      <c r="D117" s="5" t="s">
        <v>21</v>
      </c>
      <c r="E117" s="5" t="s">
        <v>21</v>
      </c>
      <c r="F117" s="5" t="s">
        <v>2350</v>
      </c>
      <c r="G117" s="5" t="s">
        <v>21</v>
      </c>
      <c r="H117" s="5" t="s">
        <v>21</v>
      </c>
      <c r="I117" s="5" t="s">
        <v>2351</v>
      </c>
      <c r="J117" s="12" t="s">
        <v>2272</v>
      </c>
      <c r="K117" s="5" t="s">
        <v>21</v>
      </c>
      <c r="L117" s="5" t="s">
        <v>21</v>
      </c>
      <c r="M117" s="5" t="s">
        <v>25</v>
      </c>
      <c r="N117" s="5" t="s">
        <v>26</v>
      </c>
      <c r="O117" s="5" t="s">
        <v>21</v>
      </c>
      <c r="P117" s="5" t="s">
        <v>21</v>
      </c>
      <c r="Q117" s="5" t="s">
        <v>21</v>
      </c>
      <c r="R117" s="5" t="s">
        <v>21</v>
      </c>
      <c r="S117" s="5" t="s">
        <v>21</v>
      </c>
      <c r="T117" s="5" t="s">
        <v>2352</v>
      </c>
      <c r="U117" s="5" t="s">
        <v>2353</v>
      </c>
      <c r="V117" s="5" t="s">
        <v>2354</v>
      </c>
      <c r="W117" s="5" t="s">
        <v>2355</v>
      </c>
      <c r="X117" s="5" t="s">
        <v>2356</v>
      </c>
      <c r="Y117" s="5" t="s">
        <v>2357</v>
      </c>
      <c r="Z117" s="5" t="s">
        <v>2358</v>
      </c>
      <c r="AA117" s="5" t="s">
        <v>2359</v>
      </c>
      <c r="AB117" s="5" t="s">
        <v>2360</v>
      </c>
      <c r="AC117" s="5" t="s">
        <v>2361</v>
      </c>
      <c r="AD117" s="5" t="s">
        <v>2362</v>
      </c>
      <c r="AE117" s="5" t="s">
        <v>2363</v>
      </c>
      <c r="AF117" s="5">
        <v>37</v>
      </c>
      <c r="AG117" s="5">
        <v>29</v>
      </c>
      <c r="AH117" s="5">
        <v>33</v>
      </c>
      <c r="AI117" s="5">
        <v>23</v>
      </c>
      <c r="AJ117" s="5">
        <v>135</v>
      </c>
      <c r="AK117" s="5" t="s">
        <v>153</v>
      </c>
      <c r="AL117" s="5" t="s">
        <v>154</v>
      </c>
      <c r="AM117" s="5" t="s">
        <v>155</v>
      </c>
      <c r="AN117" s="5" t="s">
        <v>21</v>
      </c>
      <c r="AO117" s="5" t="s">
        <v>2284</v>
      </c>
      <c r="AP117" s="5" t="s">
        <v>21</v>
      </c>
      <c r="AQ117" s="5" t="s">
        <v>2285</v>
      </c>
      <c r="AR117" s="5" t="s">
        <v>2286</v>
      </c>
      <c r="AS117" s="5" t="s">
        <v>2364</v>
      </c>
      <c r="AT117" s="5">
        <v>2022</v>
      </c>
      <c r="AU117" s="5">
        <v>10</v>
      </c>
      <c r="AV117" s="5" t="s">
        <v>21</v>
      </c>
      <c r="AW117" s="5" t="s">
        <v>21</v>
      </c>
      <c r="AX117" s="5" t="s">
        <v>21</v>
      </c>
      <c r="AY117" s="5" t="s">
        <v>21</v>
      </c>
      <c r="AZ117" s="5" t="s">
        <v>21</v>
      </c>
      <c r="BA117" s="5" t="s">
        <v>21</v>
      </c>
      <c r="BB117" s="5" t="s">
        <v>21</v>
      </c>
      <c r="BC117" s="5">
        <v>1029392</v>
      </c>
      <c r="BD117" s="5" t="s">
        <v>2365</v>
      </c>
      <c r="BE117" s="5" t="str">
        <f>HYPERLINK("http://dx.doi.org/10.3389/fpubh.2022.1029392","http://dx.doi.org/10.3389/fpubh.2022.1029392")</f>
        <v>http://dx.doi.org/10.3389/fpubh.2022.1029392</v>
      </c>
      <c r="BF117" s="5" t="s">
        <v>21</v>
      </c>
      <c r="BG117" s="5" t="s">
        <v>21</v>
      </c>
      <c r="BH117" s="5">
        <v>8</v>
      </c>
      <c r="BI117" s="5" t="s">
        <v>523</v>
      </c>
      <c r="BJ117" s="5" t="s">
        <v>92</v>
      </c>
      <c r="BK117" s="5" t="s">
        <v>523</v>
      </c>
      <c r="BL117" s="5" t="s">
        <v>2366</v>
      </c>
      <c r="BM117" s="5">
        <v>36276341</v>
      </c>
      <c r="BN117" s="5" t="s">
        <v>163</v>
      </c>
      <c r="BO117" s="5" t="s">
        <v>21</v>
      </c>
      <c r="BP117" s="5" t="s">
        <v>21</v>
      </c>
      <c r="BQ117" s="5" t="s">
        <v>49</v>
      </c>
      <c r="BR117" s="5" t="s">
        <v>2367</v>
      </c>
      <c r="BS117" s="5" t="str">
        <f>HYPERLINK("https%3A%2F%2Fwww.webofscience.com%2Fwos%2Fwoscc%2Ffull-record%2FWOS:000886061500001","View Full Record in Web of Science")</f>
        <v>View Full Record in Web of Science</v>
      </c>
    </row>
    <row r="118" spans="1:71" x14ac:dyDescent="0.25">
      <c r="A118" t="s">
        <v>19</v>
      </c>
      <c r="B118" s="5" t="s">
        <v>2368</v>
      </c>
      <c r="C118" s="5" t="s">
        <v>21</v>
      </c>
      <c r="D118" s="5" t="s">
        <v>21</v>
      </c>
      <c r="E118" s="5" t="s">
        <v>21</v>
      </c>
      <c r="F118" s="5" t="s">
        <v>2369</v>
      </c>
      <c r="G118" s="5" t="s">
        <v>21</v>
      </c>
      <c r="H118" s="5" t="s">
        <v>21</v>
      </c>
      <c r="I118" s="5" t="s">
        <v>2370</v>
      </c>
      <c r="J118" s="12" t="s">
        <v>646</v>
      </c>
      <c r="K118" s="5" t="s">
        <v>21</v>
      </c>
      <c r="L118" s="5" t="s">
        <v>21</v>
      </c>
      <c r="M118" s="5" t="s">
        <v>25</v>
      </c>
      <c r="N118" s="5" t="s">
        <v>26</v>
      </c>
      <c r="O118" s="5" t="s">
        <v>21</v>
      </c>
      <c r="P118" s="5" t="s">
        <v>21</v>
      </c>
      <c r="Q118" s="5" t="s">
        <v>21</v>
      </c>
      <c r="R118" s="5" t="s">
        <v>21</v>
      </c>
      <c r="S118" s="5" t="s">
        <v>21</v>
      </c>
      <c r="T118" s="5" t="s">
        <v>2371</v>
      </c>
      <c r="U118" s="5" t="s">
        <v>2372</v>
      </c>
      <c r="V118" s="5" t="s">
        <v>2373</v>
      </c>
      <c r="W118" s="5" t="s">
        <v>2374</v>
      </c>
      <c r="X118" s="5" t="s">
        <v>2375</v>
      </c>
      <c r="Y118" s="5" t="s">
        <v>2376</v>
      </c>
      <c r="Z118" s="5" t="s">
        <v>2377</v>
      </c>
      <c r="AA118" s="5" t="s">
        <v>2378</v>
      </c>
      <c r="AB118" s="5" t="s">
        <v>2379</v>
      </c>
      <c r="AC118" s="5" t="s">
        <v>2380</v>
      </c>
      <c r="AD118" s="5" t="s">
        <v>1696</v>
      </c>
      <c r="AE118" s="5" t="s">
        <v>2381</v>
      </c>
      <c r="AF118" s="5">
        <v>47</v>
      </c>
      <c r="AG118" s="5">
        <v>29</v>
      </c>
      <c r="AH118" s="5">
        <v>30</v>
      </c>
      <c r="AI118" s="5">
        <v>8</v>
      </c>
      <c r="AJ118" s="5">
        <v>87</v>
      </c>
      <c r="AK118" s="5" t="s">
        <v>659</v>
      </c>
      <c r="AL118" s="5" t="s">
        <v>660</v>
      </c>
      <c r="AM118" s="5" t="s">
        <v>661</v>
      </c>
      <c r="AN118" s="5" t="s">
        <v>662</v>
      </c>
      <c r="AO118" s="5" t="s">
        <v>663</v>
      </c>
      <c r="AP118" s="5" t="s">
        <v>21</v>
      </c>
      <c r="AQ118" s="5" t="s">
        <v>664</v>
      </c>
      <c r="AR118" s="5" t="s">
        <v>665</v>
      </c>
      <c r="AS118" s="5" t="s">
        <v>21</v>
      </c>
      <c r="AT118" s="5">
        <v>2021</v>
      </c>
      <c r="AU118" s="5">
        <v>29</v>
      </c>
      <c r="AV118" s="5" t="s">
        <v>21</v>
      </c>
      <c r="AW118" s="5" t="s">
        <v>21</v>
      </c>
      <c r="AX118" s="5" t="s">
        <v>21</v>
      </c>
      <c r="AY118" s="5" t="s">
        <v>21</v>
      </c>
      <c r="AZ118" s="5" t="s">
        <v>21</v>
      </c>
      <c r="BA118" s="5">
        <v>1866</v>
      </c>
      <c r="BB118" s="5">
        <v>1876</v>
      </c>
      <c r="BC118" s="5" t="s">
        <v>21</v>
      </c>
      <c r="BD118" s="5" t="s">
        <v>2382</v>
      </c>
      <c r="BE118" s="5" t="str">
        <f>HYPERLINK("http://dx.doi.org/10.1109/TNSRE.2021.3108351","http://dx.doi.org/10.1109/TNSRE.2021.3108351")</f>
        <v>http://dx.doi.org/10.1109/TNSRE.2021.3108351</v>
      </c>
      <c r="BF118" s="5" t="s">
        <v>21</v>
      </c>
      <c r="BG118" s="5" t="s">
        <v>21</v>
      </c>
      <c r="BH118" s="5">
        <v>11</v>
      </c>
      <c r="BI118" s="5" t="s">
        <v>667</v>
      </c>
      <c r="BJ118" s="5" t="s">
        <v>92</v>
      </c>
      <c r="BK118" s="5" t="s">
        <v>668</v>
      </c>
      <c r="BL118" s="5" t="s">
        <v>2383</v>
      </c>
      <c r="BM118" s="5">
        <v>34460376</v>
      </c>
      <c r="BN118" s="5" t="s">
        <v>2168</v>
      </c>
      <c r="BO118" s="5" t="s">
        <v>21</v>
      </c>
      <c r="BP118" s="5" t="s">
        <v>21</v>
      </c>
      <c r="BQ118" s="5" t="s">
        <v>49</v>
      </c>
      <c r="BR118" s="5" t="s">
        <v>2384</v>
      </c>
      <c r="BS118" s="5" t="str">
        <f>HYPERLINK("https%3A%2F%2Fwww.webofscience.com%2Fwos%2Fwoscc%2Ffull-record%2FWOS:000696664700001","View Full Record in Web of Science")</f>
        <v>View Full Record in Web of Science</v>
      </c>
    </row>
    <row r="119" spans="1:71" x14ac:dyDescent="0.25">
      <c r="A119" t="s">
        <v>19</v>
      </c>
      <c r="B119" s="5" t="s">
        <v>2385</v>
      </c>
      <c r="C119" s="5" t="s">
        <v>21</v>
      </c>
      <c r="D119" s="5" t="s">
        <v>21</v>
      </c>
      <c r="E119" s="5" t="s">
        <v>21</v>
      </c>
      <c r="F119" s="5" t="s">
        <v>2386</v>
      </c>
      <c r="G119" s="5" t="s">
        <v>21</v>
      </c>
      <c r="H119" s="5" t="s">
        <v>21</v>
      </c>
      <c r="I119" s="5" t="s">
        <v>2387</v>
      </c>
      <c r="J119" s="12" t="s">
        <v>550</v>
      </c>
      <c r="K119" s="5" t="s">
        <v>21</v>
      </c>
      <c r="L119" s="5" t="s">
        <v>21</v>
      </c>
      <c r="M119" s="5" t="s">
        <v>25</v>
      </c>
      <c r="N119" s="5" t="s">
        <v>26</v>
      </c>
      <c r="O119" s="5" t="s">
        <v>21</v>
      </c>
      <c r="P119" s="5" t="s">
        <v>21</v>
      </c>
      <c r="Q119" s="5" t="s">
        <v>21</v>
      </c>
      <c r="R119" s="5" t="s">
        <v>21</v>
      </c>
      <c r="S119" s="5" t="s">
        <v>21</v>
      </c>
      <c r="T119" s="5" t="s">
        <v>21</v>
      </c>
      <c r="U119" s="5" t="s">
        <v>2388</v>
      </c>
      <c r="V119" s="5" t="s">
        <v>2389</v>
      </c>
      <c r="W119" s="5" t="s">
        <v>2390</v>
      </c>
      <c r="X119" s="5" t="s">
        <v>2391</v>
      </c>
      <c r="Y119" s="5" t="s">
        <v>2392</v>
      </c>
      <c r="Z119" s="5" t="s">
        <v>2393</v>
      </c>
      <c r="AA119" s="5" t="s">
        <v>21</v>
      </c>
      <c r="AB119" s="5" t="s">
        <v>21</v>
      </c>
      <c r="AC119" s="5" t="s">
        <v>2394</v>
      </c>
      <c r="AD119" s="5" t="s">
        <v>2395</v>
      </c>
      <c r="AE119" s="5" t="s">
        <v>2396</v>
      </c>
      <c r="AF119" s="5">
        <v>61</v>
      </c>
      <c r="AG119" s="5">
        <v>29</v>
      </c>
      <c r="AH119" s="5">
        <v>32</v>
      </c>
      <c r="AI119" s="5">
        <v>3</v>
      </c>
      <c r="AJ119" s="5">
        <v>50</v>
      </c>
      <c r="AK119" s="5" t="s">
        <v>560</v>
      </c>
      <c r="AL119" s="5" t="s">
        <v>561</v>
      </c>
      <c r="AM119" s="5" t="s">
        <v>562</v>
      </c>
      <c r="AN119" s="5" t="s">
        <v>563</v>
      </c>
      <c r="AO119" s="5" t="s">
        <v>21</v>
      </c>
      <c r="AP119" s="5" t="s">
        <v>21</v>
      </c>
      <c r="AQ119" s="5" t="s">
        <v>550</v>
      </c>
      <c r="AR119" s="5" t="s">
        <v>564</v>
      </c>
      <c r="AS119" s="5" t="s">
        <v>2397</v>
      </c>
      <c r="AT119" s="5">
        <v>2018</v>
      </c>
      <c r="AU119" s="5">
        <v>13</v>
      </c>
      <c r="AV119" s="5">
        <v>11</v>
      </c>
      <c r="AW119" s="5" t="s">
        <v>21</v>
      </c>
      <c r="AX119" s="5" t="s">
        <v>21</v>
      </c>
      <c r="AY119" s="5" t="s">
        <v>21</v>
      </c>
      <c r="AZ119" s="5" t="s">
        <v>21</v>
      </c>
      <c r="BA119" s="5" t="s">
        <v>21</v>
      </c>
      <c r="BB119" s="5" t="s">
        <v>21</v>
      </c>
      <c r="BC119" s="5" t="s">
        <v>2398</v>
      </c>
      <c r="BD119" s="5" t="s">
        <v>2399</v>
      </c>
      <c r="BE119" s="5" t="str">
        <f>HYPERLINK("http://dx.doi.org/10.1371/journal.pone.0206343","http://dx.doi.org/10.1371/journal.pone.0206343")</f>
        <v>http://dx.doi.org/10.1371/journal.pone.0206343</v>
      </c>
      <c r="BF119" s="5" t="s">
        <v>21</v>
      </c>
      <c r="BG119" s="5" t="s">
        <v>21</v>
      </c>
      <c r="BH119" s="5">
        <v>14</v>
      </c>
      <c r="BI119" s="5" t="s">
        <v>568</v>
      </c>
      <c r="BJ119" s="5" t="s">
        <v>92</v>
      </c>
      <c r="BK119" s="5" t="s">
        <v>569</v>
      </c>
      <c r="BL119" s="5" t="s">
        <v>2400</v>
      </c>
      <c r="BM119" s="5">
        <v>30383848</v>
      </c>
      <c r="BN119" s="5" t="s">
        <v>827</v>
      </c>
      <c r="BO119" s="5" t="s">
        <v>21</v>
      </c>
      <c r="BP119" s="5" t="s">
        <v>21</v>
      </c>
      <c r="BQ119" s="5" t="s">
        <v>49</v>
      </c>
      <c r="BR119" s="5" t="s">
        <v>2401</v>
      </c>
      <c r="BS119" s="5" t="str">
        <f>HYPERLINK("https%3A%2F%2Fwww.webofscience.com%2Fwos%2Fwoscc%2Ffull-record%2FWOS:000449027600041","View Full Record in Web of Science")</f>
        <v>View Full Record in Web of Science</v>
      </c>
    </row>
    <row r="120" spans="1:71" x14ac:dyDescent="0.25">
      <c r="A120" t="s">
        <v>19</v>
      </c>
      <c r="B120" s="5" t="s">
        <v>2402</v>
      </c>
      <c r="C120" s="5" t="s">
        <v>21</v>
      </c>
      <c r="D120" s="5" t="s">
        <v>21</v>
      </c>
      <c r="E120" s="5" t="s">
        <v>21</v>
      </c>
      <c r="F120" s="5" t="s">
        <v>2403</v>
      </c>
      <c r="G120" s="5" t="s">
        <v>21</v>
      </c>
      <c r="H120" s="5" t="s">
        <v>21</v>
      </c>
      <c r="I120" s="5" t="s">
        <v>2404</v>
      </c>
      <c r="J120" s="12" t="s">
        <v>1364</v>
      </c>
      <c r="K120" s="5" t="s">
        <v>21</v>
      </c>
      <c r="L120" s="5" t="s">
        <v>21</v>
      </c>
      <c r="M120" s="5" t="s">
        <v>25</v>
      </c>
      <c r="N120" s="5" t="s">
        <v>26</v>
      </c>
      <c r="O120" s="5" t="s">
        <v>21</v>
      </c>
      <c r="P120" s="5" t="s">
        <v>21</v>
      </c>
      <c r="Q120" s="5" t="s">
        <v>21</v>
      </c>
      <c r="R120" s="5" t="s">
        <v>21</v>
      </c>
      <c r="S120" s="5" t="s">
        <v>21</v>
      </c>
      <c r="T120" s="5" t="s">
        <v>2405</v>
      </c>
      <c r="U120" s="5" t="s">
        <v>2406</v>
      </c>
      <c r="V120" s="5" t="s">
        <v>2407</v>
      </c>
      <c r="W120" s="5" t="s">
        <v>2408</v>
      </c>
      <c r="X120" s="5" t="s">
        <v>2409</v>
      </c>
      <c r="Y120" s="5" t="s">
        <v>2410</v>
      </c>
      <c r="Z120" s="5" t="s">
        <v>2411</v>
      </c>
      <c r="AA120" s="5" t="s">
        <v>2412</v>
      </c>
      <c r="AB120" s="5" t="s">
        <v>2413</v>
      </c>
      <c r="AC120" s="5" t="s">
        <v>2414</v>
      </c>
      <c r="AD120" s="5" t="s">
        <v>2414</v>
      </c>
      <c r="AE120" s="5" t="s">
        <v>2415</v>
      </c>
      <c r="AF120" s="5">
        <v>45</v>
      </c>
      <c r="AG120" s="5">
        <v>28</v>
      </c>
      <c r="AH120" s="5">
        <v>30</v>
      </c>
      <c r="AI120" s="5">
        <v>13</v>
      </c>
      <c r="AJ120" s="5">
        <v>107</v>
      </c>
      <c r="AK120" s="5" t="s">
        <v>1377</v>
      </c>
      <c r="AL120" s="5" t="s">
        <v>64</v>
      </c>
      <c r="AM120" s="5" t="s">
        <v>1378</v>
      </c>
      <c r="AN120" s="5" t="s">
        <v>21</v>
      </c>
      <c r="AO120" s="5" t="s">
        <v>1379</v>
      </c>
      <c r="AP120" s="5" t="s">
        <v>21</v>
      </c>
      <c r="AQ120" s="5" t="s">
        <v>1380</v>
      </c>
      <c r="AR120" s="5" t="s">
        <v>1381</v>
      </c>
      <c r="AS120" s="5" t="s">
        <v>2416</v>
      </c>
      <c r="AT120" s="5">
        <v>2022</v>
      </c>
      <c r="AU120" s="5">
        <v>19</v>
      </c>
      <c r="AV120" s="5">
        <v>1</v>
      </c>
      <c r="AW120" s="5" t="s">
        <v>21</v>
      </c>
      <c r="AX120" s="5" t="s">
        <v>21</v>
      </c>
      <c r="AY120" s="5" t="s">
        <v>21</v>
      </c>
      <c r="AZ120" s="5" t="s">
        <v>21</v>
      </c>
      <c r="BA120" s="5" t="s">
        <v>21</v>
      </c>
      <c r="BB120" s="5" t="s">
        <v>21</v>
      </c>
      <c r="BC120" s="5">
        <v>1</v>
      </c>
      <c r="BD120" s="5" t="s">
        <v>2417</v>
      </c>
      <c r="BE120" s="5" t="str">
        <f>HYPERLINK("http://dx.doi.org/10.1186/s12984-021-00978-1","http://dx.doi.org/10.1186/s12984-021-00978-1")</f>
        <v>http://dx.doi.org/10.1186/s12984-021-00978-1</v>
      </c>
      <c r="BF120" s="5" t="s">
        <v>21</v>
      </c>
      <c r="BG120" s="5" t="s">
        <v>21</v>
      </c>
      <c r="BH120" s="5">
        <v>13</v>
      </c>
      <c r="BI120" s="5" t="s">
        <v>1384</v>
      </c>
      <c r="BJ120" s="5" t="s">
        <v>92</v>
      </c>
      <c r="BK120" s="5" t="s">
        <v>1385</v>
      </c>
      <c r="BL120" s="5" t="s">
        <v>2418</v>
      </c>
      <c r="BM120" s="5">
        <v>34996473</v>
      </c>
      <c r="BN120" s="5" t="s">
        <v>163</v>
      </c>
      <c r="BO120" s="5" t="s">
        <v>21</v>
      </c>
      <c r="BP120" s="5" t="s">
        <v>21</v>
      </c>
      <c r="BQ120" s="5" t="s">
        <v>49</v>
      </c>
      <c r="BR120" s="5" t="s">
        <v>2419</v>
      </c>
      <c r="BS120" s="5" t="str">
        <f>HYPERLINK("https%3A%2F%2Fwww.webofscience.com%2Fwos%2Fwoscc%2Ffull-record%2FWOS:000740241100001","View Full Record in Web of Science")</f>
        <v>View Full Record in Web of Science</v>
      </c>
    </row>
    <row r="121" spans="1:71" x14ac:dyDescent="0.25">
      <c r="A121" t="s">
        <v>19</v>
      </c>
      <c r="B121" s="5" t="s">
        <v>2420</v>
      </c>
      <c r="C121" s="5" t="s">
        <v>21</v>
      </c>
      <c r="D121" s="5" t="s">
        <v>21</v>
      </c>
      <c r="E121" s="5" t="s">
        <v>21</v>
      </c>
      <c r="F121" s="5" t="s">
        <v>2421</v>
      </c>
      <c r="G121" s="5" t="s">
        <v>21</v>
      </c>
      <c r="H121" s="5" t="s">
        <v>21</v>
      </c>
      <c r="I121" s="5" t="s">
        <v>2422</v>
      </c>
      <c r="J121" s="12" t="s">
        <v>2423</v>
      </c>
      <c r="K121" s="5" t="s">
        <v>21</v>
      </c>
      <c r="L121" s="5" t="s">
        <v>21</v>
      </c>
      <c r="M121" s="5" t="s">
        <v>25</v>
      </c>
      <c r="N121" s="5" t="s">
        <v>26</v>
      </c>
      <c r="O121" s="5" t="s">
        <v>21</v>
      </c>
      <c r="P121" s="5" t="s">
        <v>21</v>
      </c>
      <c r="Q121" s="5" t="s">
        <v>21</v>
      </c>
      <c r="R121" s="5" t="s">
        <v>21</v>
      </c>
      <c r="S121" s="5" t="s">
        <v>21</v>
      </c>
      <c r="T121" s="5" t="s">
        <v>2424</v>
      </c>
      <c r="U121" s="5" t="s">
        <v>2425</v>
      </c>
      <c r="V121" s="5" t="s">
        <v>2426</v>
      </c>
      <c r="W121" s="5" t="s">
        <v>2427</v>
      </c>
      <c r="X121" s="5" t="s">
        <v>2428</v>
      </c>
      <c r="Y121" s="5" t="s">
        <v>2429</v>
      </c>
      <c r="Z121" s="5" t="s">
        <v>2430</v>
      </c>
      <c r="AA121" s="5" t="s">
        <v>2431</v>
      </c>
      <c r="AB121" s="5" t="s">
        <v>2432</v>
      </c>
      <c r="AC121" s="5" t="s">
        <v>2433</v>
      </c>
      <c r="AD121" s="5" t="s">
        <v>2434</v>
      </c>
      <c r="AE121" s="5" t="s">
        <v>2435</v>
      </c>
      <c r="AF121" s="5">
        <v>71</v>
      </c>
      <c r="AG121" s="5">
        <v>28</v>
      </c>
      <c r="AH121" s="5">
        <v>29</v>
      </c>
      <c r="AI121" s="5">
        <v>11</v>
      </c>
      <c r="AJ121" s="5">
        <v>74</v>
      </c>
      <c r="AK121" s="5" t="s">
        <v>2436</v>
      </c>
      <c r="AL121" s="5" t="s">
        <v>2437</v>
      </c>
      <c r="AM121" s="5" t="s">
        <v>2438</v>
      </c>
      <c r="AN121" s="5" t="s">
        <v>2439</v>
      </c>
      <c r="AO121" s="5" t="s">
        <v>21</v>
      </c>
      <c r="AP121" s="5" t="s">
        <v>21</v>
      </c>
      <c r="AQ121" s="5" t="s">
        <v>2440</v>
      </c>
      <c r="AR121" s="5" t="s">
        <v>2441</v>
      </c>
      <c r="AS121" s="5" t="s">
        <v>21</v>
      </c>
      <c r="AT121" s="5">
        <v>2022</v>
      </c>
      <c r="AU121" s="5">
        <v>15</v>
      </c>
      <c r="AV121" s="5" t="s">
        <v>21</v>
      </c>
      <c r="AW121" s="5" t="s">
        <v>21</v>
      </c>
      <c r="AX121" s="5" t="s">
        <v>21</v>
      </c>
      <c r="AY121" s="5" t="s">
        <v>21</v>
      </c>
      <c r="AZ121" s="5" t="s">
        <v>21</v>
      </c>
      <c r="BA121" s="5">
        <v>1741</v>
      </c>
      <c r="BB121" s="5">
        <v>1756</v>
      </c>
      <c r="BC121" s="5" t="s">
        <v>21</v>
      </c>
      <c r="BD121" s="5" t="s">
        <v>2442</v>
      </c>
      <c r="BE121" s="5" t="str">
        <f>HYPERLINK("http://dx.doi.org/10.2147/PRBM.S369020","http://dx.doi.org/10.2147/PRBM.S369020")</f>
        <v>http://dx.doi.org/10.2147/PRBM.S369020</v>
      </c>
      <c r="BF121" s="5" t="s">
        <v>21</v>
      </c>
      <c r="BG121" s="5" t="s">
        <v>21</v>
      </c>
      <c r="BH121" s="5">
        <v>16</v>
      </c>
      <c r="BI121" s="5" t="s">
        <v>2443</v>
      </c>
      <c r="BJ121" s="5" t="s">
        <v>45</v>
      </c>
      <c r="BK121" s="5" t="s">
        <v>1826</v>
      </c>
      <c r="BL121" s="5" t="s">
        <v>2444</v>
      </c>
      <c r="BM121" s="5">
        <v>35860203</v>
      </c>
      <c r="BN121" s="5" t="s">
        <v>864</v>
      </c>
      <c r="BO121" s="5" t="s">
        <v>21</v>
      </c>
      <c r="BP121" s="5" t="s">
        <v>21</v>
      </c>
      <c r="BQ121" s="5" t="s">
        <v>49</v>
      </c>
      <c r="BR121" s="5" t="s">
        <v>2445</v>
      </c>
      <c r="BS121" s="5" t="str">
        <f>HYPERLINK("https%3A%2F%2Fwww.webofscience.com%2Fwos%2Fwoscc%2Ffull-record%2FWOS:000830332400001","View Full Record in Web of Science")</f>
        <v>View Full Record in Web of Science</v>
      </c>
    </row>
    <row r="122" spans="1:71" x14ac:dyDescent="0.25">
      <c r="A122" t="s">
        <v>19</v>
      </c>
      <c r="B122" s="5" t="s">
        <v>2446</v>
      </c>
      <c r="C122" s="5" t="s">
        <v>21</v>
      </c>
      <c r="D122" s="5" t="s">
        <v>21</v>
      </c>
      <c r="E122" s="5" t="s">
        <v>21</v>
      </c>
      <c r="F122" s="5" t="s">
        <v>2447</v>
      </c>
      <c r="G122" s="5" t="s">
        <v>21</v>
      </c>
      <c r="H122" s="5" t="s">
        <v>21</v>
      </c>
      <c r="I122" s="5" t="s">
        <v>2448</v>
      </c>
      <c r="J122" s="12" t="s">
        <v>1013</v>
      </c>
      <c r="K122" s="5" t="s">
        <v>21</v>
      </c>
      <c r="L122" s="5" t="s">
        <v>21</v>
      </c>
      <c r="M122" s="5" t="s">
        <v>25</v>
      </c>
      <c r="N122" s="5" t="s">
        <v>26</v>
      </c>
      <c r="O122" s="5" t="s">
        <v>21</v>
      </c>
      <c r="P122" s="5" t="s">
        <v>21</v>
      </c>
      <c r="Q122" s="5" t="s">
        <v>21</v>
      </c>
      <c r="R122" s="5" t="s">
        <v>21</v>
      </c>
      <c r="S122" s="5" t="s">
        <v>21</v>
      </c>
      <c r="T122" s="5" t="s">
        <v>2449</v>
      </c>
      <c r="U122" s="5" t="s">
        <v>21</v>
      </c>
      <c r="V122" s="5" t="s">
        <v>2450</v>
      </c>
      <c r="W122" s="5" t="s">
        <v>2451</v>
      </c>
      <c r="X122" s="5" t="s">
        <v>2452</v>
      </c>
      <c r="Y122" s="5" t="s">
        <v>2453</v>
      </c>
      <c r="Z122" s="5" t="s">
        <v>2454</v>
      </c>
      <c r="AA122" s="5" t="s">
        <v>2455</v>
      </c>
      <c r="AB122" s="5" t="s">
        <v>2456</v>
      </c>
      <c r="AC122" s="5" t="s">
        <v>2457</v>
      </c>
      <c r="AD122" s="5" t="s">
        <v>2457</v>
      </c>
      <c r="AE122" s="5" t="s">
        <v>2458</v>
      </c>
      <c r="AF122" s="5">
        <v>16</v>
      </c>
      <c r="AG122" s="5">
        <v>28</v>
      </c>
      <c r="AH122" s="5">
        <v>29</v>
      </c>
      <c r="AI122" s="5">
        <v>6</v>
      </c>
      <c r="AJ122" s="5">
        <v>42</v>
      </c>
      <c r="AK122" s="5" t="s">
        <v>349</v>
      </c>
      <c r="AL122" s="5" t="s">
        <v>350</v>
      </c>
      <c r="AM122" s="5" t="s">
        <v>351</v>
      </c>
      <c r="AN122" s="5" t="s">
        <v>1019</v>
      </c>
      <c r="AO122" s="5" t="s">
        <v>1020</v>
      </c>
      <c r="AP122" s="5" t="s">
        <v>21</v>
      </c>
      <c r="AQ122" s="5" t="s">
        <v>1021</v>
      </c>
      <c r="AR122" s="5" t="s">
        <v>1022</v>
      </c>
      <c r="AS122" s="5" t="s">
        <v>1023</v>
      </c>
      <c r="AT122" s="5">
        <v>2020</v>
      </c>
      <c r="AU122" s="5">
        <v>23</v>
      </c>
      <c r="AV122" s="5">
        <v>1</v>
      </c>
      <c r="AW122" s="5" t="s">
        <v>21</v>
      </c>
      <c r="AX122" s="5" t="s">
        <v>21</v>
      </c>
      <c r="AY122" s="5" t="s">
        <v>21</v>
      </c>
      <c r="AZ122" s="5" t="s">
        <v>21</v>
      </c>
      <c r="BA122" s="5">
        <v>5</v>
      </c>
      <c r="BB122" s="5">
        <v>9</v>
      </c>
      <c r="BC122" s="5" t="s">
        <v>21</v>
      </c>
      <c r="BD122" s="5" t="s">
        <v>2459</v>
      </c>
      <c r="BE122" s="5" t="str">
        <f>HYPERLINK("http://dx.doi.org/10.1089/cyber.2019.0115","http://dx.doi.org/10.1089/cyber.2019.0115")</f>
        <v>http://dx.doi.org/10.1089/cyber.2019.0115</v>
      </c>
      <c r="BF122" s="5" t="s">
        <v>21</v>
      </c>
      <c r="BG122" s="5" t="s">
        <v>2460</v>
      </c>
      <c r="BH122" s="5">
        <v>5</v>
      </c>
      <c r="BI122" s="5" t="s">
        <v>1026</v>
      </c>
      <c r="BJ122" s="5" t="s">
        <v>45</v>
      </c>
      <c r="BK122" s="5" t="s">
        <v>46</v>
      </c>
      <c r="BL122" s="5" t="s">
        <v>1027</v>
      </c>
      <c r="BM122" s="5">
        <v>31644332</v>
      </c>
      <c r="BN122" s="5" t="s">
        <v>717</v>
      </c>
      <c r="BO122" s="5" t="s">
        <v>21</v>
      </c>
      <c r="BP122" s="5" t="s">
        <v>21</v>
      </c>
      <c r="BQ122" s="5" t="s">
        <v>49</v>
      </c>
      <c r="BR122" s="5" t="s">
        <v>2461</v>
      </c>
      <c r="BS122" s="5" t="str">
        <f>HYPERLINK("https%3A%2F%2Fwww.webofscience.com%2Fwos%2Fwoscc%2Ffull-record%2FWOS:000492368900001","View Full Record in Web of Science")</f>
        <v>View Full Record in Web of Science</v>
      </c>
    </row>
    <row r="123" spans="1:71" x14ac:dyDescent="0.25">
      <c r="A123" t="s">
        <v>19</v>
      </c>
      <c r="B123" s="5" t="s">
        <v>2462</v>
      </c>
      <c r="C123" s="5" t="s">
        <v>21</v>
      </c>
      <c r="D123" s="5" t="s">
        <v>21</v>
      </c>
      <c r="E123" s="5" t="s">
        <v>21</v>
      </c>
      <c r="F123" s="5" t="s">
        <v>2463</v>
      </c>
      <c r="G123" s="5" t="s">
        <v>21</v>
      </c>
      <c r="H123" s="5" t="s">
        <v>21</v>
      </c>
      <c r="I123" s="5" t="s">
        <v>2464</v>
      </c>
      <c r="J123" s="12" t="s">
        <v>24</v>
      </c>
      <c r="K123" s="5" t="s">
        <v>21</v>
      </c>
      <c r="L123" s="5" t="s">
        <v>21</v>
      </c>
      <c r="M123" s="5" t="s">
        <v>25</v>
      </c>
      <c r="N123" s="5" t="s">
        <v>26</v>
      </c>
      <c r="O123" s="5" t="s">
        <v>21</v>
      </c>
      <c r="P123" s="5" t="s">
        <v>21</v>
      </c>
      <c r="Q123" s="5" t="s">
        <v>21</v>
      </c>
      <c r="R123" s="5" t="s">
        <v>21</v>
      </c>
      <c r="S123" s="5" t="s">
        <v>21</v>
      </c>
      <c r="T123" s="5" t="s">
        <v>2465</v>
      </c>
      <c r="U123" s="5" t="s">
        <v>2466</v>
      </c>
      <c r="V123" s="5" t="s">
        <v>2467</v>
      </c>
      <c r="W123" s="5" t="s">
        <v>2468</v>
      </c>
      <c r="X123" s="5" t="s">
        <v>2469</v>
      </c>
      <c r="Y123" s="5" t="s">
        <v>2470</v>
      </c>
      <c r="Z123" s="5" t="s">
        <v>2471</v>
      </c>
      <c r="AA123" s="5" t="s">
        <v>2472</v>
      </c>
      <c r="AB123" s="5" t="s">
        <v>21</v>
      </c>
      <c r="AC123" s="5" t="s">
        <v>2473</v>
      </c>
      <c r="AD123" s="5" t="s">
        <v>2474</v>
      </c>
      <c r="AE123" s="5" t="s">
        <v>2475</v>
      </c>
      <c r="AF123" s="5">
        <v>55</v>
      </c>
      <c r="AG123" s="5">
        <v>28</v>
      </c>
      <c r="AH123" s="5">
        <v>36</v>
      </c>
      <c r="AI123" s="5">
        <v>11</v>
      </c>
      <c r="AJ123" s="5">
        <v>88</v>
      </c>
      <c r="AK123" s="5" t="s">
        <v>35</v>
      </c>
      <c r="AL123" s="5" t="s">
        <v>36</v>
      </c>
      <c r="AM123" s="5" t="s">
        <v>37</v>
      </c>
      <c r="AN123" s="5" t="s">
        <v>38</v>
      </c>
      <c r="AO123" s="5" t="s">
        <v>39</v>
      </c>
      <c r="AP123" s="5" t="s">
        <v>21</v>
      </c>
      <c r="AQ123" s="5" t="s">
        <v>40</v>
      </c>
      <c r="AR123" s="5" t="s">
        <v>41</v>
      </c>
      <c r="AS123" s="5" t="s">
        <v>334</v>
      </c>
      <c r="AT123" s="5">
        <v>2019</v>
      </c>
      <c r="AU123" s="5">
        <v>49</v>
      </c>
      <c r="AV123" s="5">
        <v>2</v>
      </c>
      <c r="AW123" s="5" t="s">
        <v>21</v>
      </c>
      <c r="AX123" s="5" t="s">
        <v>21</v>
      </c>
      <c r="AY123" s="5" t="s">
        <v>21</v>
      </c>
      <c r="AZ123" s="5" t="s">
        <v>21</v>
      </c>
      <c r="BA123" s="5">
        <v>660</v>
      </c>
      <c r="BB123" s="5">
        <v>668</v>
      </c>
      <c r="BC123" s="5" t="s">
        <v>21</v>
      </c>
      <c r="BD123" s="5" t="s">
        <v>2476</v>
      </c>
      <c r="BE123" s="5" t="str">
        <f>HYPERLINK("http://dx.doi.org/10.1007/s10803-018-3737-0","http://dx.doi.org/10.1007/s10803-018-3737-0")</f>
        <v>http://dx.doi.org/10.1007/s10803-018-3737-0</v>
      </c>
      <c r="BF123" s="5" t="s">
        <v>21</v>
      </c>
      <c r="BG123" s="5" t="s">
        <v>21</v>
      </c>
      <c r="BH123" s="5">
        <v>9</v>
      </c>
      <c r="BI123" s="5" t="s">
        <v>44</v>
      </c>
      <c r="BJ123" s="5" t="s">
        <v>45</v>
      </c>
      <c r="BK123" s="5" t="s">
        <v>46</v>
      </c>
      <c r="BL123" s="5" t="s">
        <v>2477</v>
      </c>
      <c r="BM123" s="5">
        <v>30203311</v>
      </c>
      <c r="BN123" s="5" t="s">
        <v>21</v>
      </c>
      <c r="BO123" s="5" t="s">
        <v>21</v>
      </c>
      <c r="BP123" s="5" t="s">
        <v>21</v>
      </c>
      <c r="BQ123" s="5" t="s">
        <v>49</v>
      </c>
      <c r="BR123" s="5" t="s">
        <v>2478</v>
      </c>
      <c r="BS123" s="5" t="str">
        <f>HYPERLINK("https%3A%2F%2Fwww.webofscience.com%2Fwos%2Fwoscc%2Ffull-record%2FWOS:000458251700017","View Full Record in Web of Science")</f>
        <v>View Full Record in Web of Science</v>
      </c>
    </row>
    <row r="124" spans="1:71" x14ac:dyDescent="0.25">
      <c r="A124" t="s">
        <v>19</v>
      </c>
      <c r="B124" s="5" t="s">
        <v>2479</v>
      </c>
      <c r="C124" s="5" t="s">
        <v>21</v>
      </c>
      <c r="D124" s="5" t="s">
        <v>21</v>
      </c>
      <c r="E124" s="5" t="s">
        <v>21</v>
      </c>
      <c r="F124" s="5" t="s">
        <v>2480</v>
      </c>
      <c r="G124" s="5" t="s">
        <v>21</v>
      </c>
      <c r="H124" s="5" t="s">
        <v>21</v>
      </c>
      <c r="I124" s="5" t="s">
        <v>2481</v>
      </c>
      <c r="J124" s="12" t="s">
        <v>2482</v>
      </c>
      <c r="K124" s="5" t="s">
        <v>21</v>
      </c>
      <c r="L124" s="5" t="s">
        <v>21</v>
      </c>
      <c r="M124" s="5" t="s">
        <v>25</v>
      </c>
      <c r="N124" s="5" t="s">
        <v>26</v>
      </c>
      <c r="O124" s="5" t="s">
        <v>21</v>
      </c>
      <c r="P124" s="5" t="s">
        <v>21</v>
      </c>
      <c r="Q124" s="5" t="s">
        <v>21</v>
      </c>
      <c r="R124" s="5" t="s">
        <v>21</v>
      </c>
      <c r="S124" s="5" t="s">
        <v>21</v>
      </c>
      <c r="T124" s="5" t="s">
        <v>21</v>
      </c>
      <c r="U124" s="5" t="s">
        <v>2483</v>
      </c>
      <c r="V124" s="5" t="s">
        <v>2484</v>
      </c>
      <c r="W124" s="5" t="s">
        <v>2485</v>
      </c>
      <c r="X124" s="5" t="s">
        <v>2486</v>
      </c>
      <c r="Y124" s="5" t="s">
        <v>2487</v>
      </c>
      <c r="Z124" s="5" t="s">
        <v>1692</v>
      </c>
      <c r="AA124" s="5" t="s">
        <v>618</v>
      </c>
      <c r="AB124" s="5" t="s">
        <v>2488</v>
      </c>
      <c r="AC124" s="5" t="s">
        <v>2489</v>
      </c>
      <c r="AD124" s="5" t="s">
        <v>2490</v>
      </c>
      <c r="AE124" s="5" t="s">
        <v>2491</v>
      </c>
      <c r="AF124" s="5">
        <v>15</v>
      </c>
      <c r="AG124" s="5">
        <v>28</v>
      </c>
      <c r="AH124" s="5">
        <v>28</v>
      </c>
      <c r="AI124" s="5">
        <v>2</v>
      </c>
      <c r="AJ124" s="5">
        <v>32</v>
      </c>
      <c r="AK124" s="5" t="s">
        <v>2492</v>
      </c>
      <c r="AL124" s="5" t="s">
        <v>1884</v>
      </c>
      <c r="AM124" s="5" t="s">
        <v>2493</v>
      </c>
      <c r="AN124" s="5" t="s">
        <v>2494</v>
      </c>
      <c r="AO124" s="5" t="s">
        <v>2495</v>
      </c>
      <c r="AP124" s="5" t="s">
        <v>21</v>
      </c>
      <c r="AQ124" s="5" t="s">
        <v>2496</v>
      </c>
      <c r="AR124" s="5" t="s">
        <v>2497</v>
      </c>
      <c r="AS124" s="5" t="s">
        <v>2498</v>
      </c>
      <c r="AT124" s="5">
        <v>2017</v>
      </c>
      <c r="AU124" s="5">
        <v>68</v>
      </c>
      <c r="AV124" s="5">
        <v>7</v>
      </c>
      <c r="AW124" s="5" t="s">
        <v>21</v>
      </c>
      <c r="AX124" s="5" t="s">
        <v>21</v>
      </c>
      <c r="AY124" s="5" t="s">
        <v>21</v>
      </c>
      <c r="AZ124" s="5" t="s">
        <v>21</v>
      </c>
      <c r="BA124" s="5">
        <v>747</v>
      </c>
      <c r="BB124" s="5">
        <v>750</v>
      </c>
      <c r="BC124" s="5" t="s">
        <v>21</v>
      </c>
      <c r="BD124" s="5" t="s">
        <v>2499</v>
      </c>
      <c r="BE124" s="5" t="str">
        <f>HYPERLINK("http://dx.doi.org/10.1176/appi.ps.201600217","http://dx.doi.org/10.1176/appi.ps.201600217")</f>
        <v>http://dx.doi.org/10.1176/appi.ps.201600217</v>
      </c>
      <c r="BF124" s="5" t="s">
        <v>21</v>
      </c>
      <c r="BG124" s="5" t="s">
        <v>21</v>
      </c>
      <c r="BH124" s="5">
        <v>4</v>
      </c>
      <c r="BI124" s="5" t="s">
        <v>2500</v>
      </c>
      <c r="BJ124" s="5" t="s">
        <v>92</v>
      </c>
      <c r="BK124" s="5" t="s">
        <v>2501</v>
      </c>
      <c r="BL124" s="5" t="s">
        <v>2502</v>
      </c>
      <c r="BM124" s="5">
        <v>28292223</v>
      </c>
      <c r="BN124" s="5" t="s">
        <v>717</v>
      </c>
      <c r="BO124" s="5" t="s">
        <v>21</v>
      </c>
      <c r="BP124" s="5" t="s">
        <v>21</v>
      </c>
      <c r="BQ124" s="5" t="s">
        <v>49</v>
      </c>
      <c r="BR124" s="5" t="s">
        <v>2503</v>
      </c>
      <c r="BS124" s="5" t="str">
        <f>HYPERLINK("https%3A%2F%2Fwww.webofscience.com%2Fwos%2Fwoscc%2Ffull-record%2FWOS:000405110900020","View Full Record in Web of Science")</f>
        <v>View Full Record in Web of Science</v>
      </c>
    </row>
    <row r="125" spans="1:71" x14ac:dyDescent="0.25">
      <c r="A125" t="s">
        <v>19</v>
      </c>
      <c r="B125" s="5" t="s">
        <v>2504</v>
      </c>
      <c r="C125" s="5" t="s">
        <v>21</v>
      </c>
      <c r="D125" s="5" t="s">
        <v>21</v>
      </c>
      <c r="E125" s="5" t="s">
        <v>21</v>
      </c>
      <c r="F125" s="5" t="s">
        <v>2505</v>
      </c>
      <c r="G125" s="5" t="s">
        <v>21</v>
      </c>
      <c r="H125" s="5" t="s">
        <v>21</v>
      </c>
      <c r="I125" s="5" t="s">
        <v>2506</v>
      </c>
      <c r="J125" s="12" t="s">
        <v>2507</v>
      </c>
      <c r="K125" s="5" t="s">
        <v>21</v>
      </c>
      <c r="L125" s="5" t="s">
        <v>21</v>
      </c>
      <c r="M125" s="5" t="s">
        <v>25</v>
      </c>
      <c r="N125" s="5" t="s">
        <v>26</v>
      </c>
      <c r="O125" s="5" t="s">
        <v>21</v>
      </c>
      <c r="P125" s="5" t="s">
        <v>21</v>
      </c>
      <c r="Q125" s="5" t="s">
        <v>21</v>
      </c>
      <c r="R125" s="5" t="s">
        <v>21</v>
      </c>
      <c r="S125" s="5" t="s">
        <v>21</v>
      </c>
      <c r="T125" s="5" t="s">
        <v>2508</v>
      </c>
      <c r="U125" s="5" t="s">
        <v>2509</v>
      </c>
      <c r="V125" s="5" t="s">
        <v>2510</v>
      </c>
      <c r="W125" s="5" t="s">
        <v>2511</v>
      </c>
      <c r="X125" s="5" t="s">
        <v>2512</v>
      </c>
      <c r="Y125" s="5" t="s">
        <v>2513</v>
      </c>
      <c r="Z125" s="5" t="s">
        <v>2514</v>
      </c>
      <c r="AA125" s="5" t="s">
        <v>21</v>
      </c>
      <c r="AB125" s="5" t="s">
        <v>538</v>
      </c>
      <c r="AC125" s="5" t="s">
        <v>21</v>
      </c>
      <c r="AD125" s="5" t="s">
        <v>21</v>
      </c>
      <c r="AE125" s="5" t="s">
        <v>21</v>
      </c>
      <c r="AF125" s="5">
        <v>60</v>
      </c>
      <c r="AG125" s="5">
        <v>28</v>
      </c>
      <c r="AH125" s="5">
        <v>34</v>
      </c>
      <c r="AI125" s="5">
        <v>2</v>
      </c>
      <c r="AJ125" s="5">
        <v>56</v>
      </c>
      <c r="AK125" s="5" t="s">
        <v>493</v>
      </c>
      <c r="AL125" s="5" t="s">
        <v>494</v>
      </c>
      <c r="AM125" s="5" t="s">
        <v>495</v>
      </c>
      <c r="AN125" s="5" t="s">
        <v>2515</v>
      </c>
      <c r="AO125" s="5" t="s">
        <v>2516</v>
      </c>
      <c r="AP125" s="5" t="s">
        <v>21</v>
      </c>
      <c r="AQ125" s="5" t="s">
        <v>2517</v>
      </c>
      <c r="AR125" s="5" t="s">
        <v>2518</v>
      </c>
      <c r="AS125" s="5" t="s">
        <v>89</v>
      </c>
      <c r="AT125" s="5">
        <v>2017</v>
      </c>
      <c r="AU125" s="5">
        <v>42</v>
      </c>
      <c r="AV125" s="5">
        <v>2</v>
      </c>
      <c r="AW125" s="5" t="s">
        <v>21</v>
      </c>
      <c r="AX125" s="5" t="s">
        <v>21</v>
      </c>
      <c r="AY125" s="5" t="s">
        <v>21</v>
      </c>
      <c r="AZ125" s="5" t="s">
        <v>21</v>
      </c>
      <c r="BA125" s="5">
        <v>131</v>
      </c>
      <c r="BB125" s="5">
        <v>141</v>
      </c>
      <c r="BC125" s="5" t="s">
        <v>21</v>
      </c>
      <c r="BD125" s="5" t="s">
        <v>2519</v>
      </c>
      <c r="BE125" s="5" t="str">
        <f>HYPERLINK("http://dx.doi.org/10.3109/13668250.2016.1234032","http://dx.doi.org/10.3109/13668250.2016.1234032")</f>
        <v>http://dx.doi.org/10.3109/13668250.2016.1234032</v>
      </c>
      <c r="BF125" s="5" t="s">
        <v>21</v>
      </c>
      <c r="BG125" s="5" t="s">
        <v>21</v>
      </c>
      <c r="BH125" s="5">
        <v>11</v>
      </c>
      <c r="BI125" s="5" t="s">
        <v>887</v>
      </c>
      <c r="BJ125" s="5" t="s">
        <v>45</v>
      </c>
      <c r="BK125" s="5" t="s">
        <v>888</v>
      </c>
      <c r="BL125" s="5" t="s">
        <v>2520</v>
      </c>
      <c r="BM125" s="5" t="s">
        <v>21</v>
      </c>
      <c r="BN125" s="5" t="s">
        <v>137</v>
      </c>
      <c r="BO125" s="5" t="s">
        <v>21</v>
      </c>
      <c r="BP125" s="5" t="s">
        <v>21</v>
      </c>
      <c r="BQ125" s="5" t="s">
        <v>49</v>
      </c>
      <c r="BR125" s="5" t="s">
        <v>2521</v>
      </c>
      <c r="BS125" s="5" t="str">
        <f>HYPERLINK("https%3A%2F%2Fwww.webofscience.com%2Fwos%2Fwoscc%2Ffull-record%2FWOS:000399324100004","View Full Record in Web of Science")</f>
        <v>View Full Record in Web of Science</v>
      </c>
    </row>
    <row r="126" spans="1:71" x14ac:dyDescent="0.25">
      <c r="A126" t="s">
        <v>19</v>
      </c>
      <c r="B126" s="5" t="s">
        <v>2522</v>
      </c>
      <c r="C126" s="5" t="s">
        <v>21</v>
      </c>
      <c r="D126" s="5" t="s">
        <v>21</v>
      </c>
      <c r="E126" s="5" t="s">
        <v>21</v>
      </c>
      <c r="F126" s="5" t="s">
        <v>2523</v>
      </c>
      <c r="G126" s="5" t="s">
        <v>21</v>
      </c>
      <c r="H126" s="5" t="s">
        <v>21</v>
      </c>
      <c r="I126" s="5" t="s">
        <v>2524</v>
      </c>
      <c r="J126" s="12" t="s">
        <v>54</v>
      </c>
      <c r="K126" s="5" t="s">
        <v>21</v>
      </c>
      <c r="L126" s="5" t="s">
        <v>21</v>
      </c>
      <c r="M126" s="5" t="s">
        <v>25</v>
      </c>
      <c r="N126" s="5" t="s">
        <v>26</v>
      </c>
      <c r="O126" s="5" t="s">
        <v>21</v>
      </c>
      <c r="P126" s="5" t="s">
        <v>21</v>
      </c>
      <c r="Q126" s="5" t="s">
        <v>21</v>
      </c>
      <c r="R126" s="5" t="s">
        <v>21</v>
      </c>
      <c r="S126" s="5" t="s">
        <v>21</v>
      </c>
      <c r="T126" s="5" t="s">
        <v>2525</v>
      </c>
      <c r="U126" s="5" t="s">
        <v>2526</v>
      </c>
      <c r="V126" s="5" t="s">
        <v>2527</v>
      </c>
      <c r="W126" s="5" t="s">
        <v>2528</v>
      </c>
      <c r="X126" s="5" t="s">
        <v>2529</v>
      </c>
      <c r="Y126" s="5" t="s">
        <v>2530</v>
      </c>
      <c r="Z126" s="5" t="s">
        <v>2531</v>
      </c>
      <c r="AA126" s="5" t="s">
        <v>21</v>
      </c>
      <c r="AB126" s="5" t="s">
        <v>2532</v>
      </c>
      <c r="AC126" s="5" t="s">
        <v>2533</v>
      </c>
      <c r="AD126" s="5" t="s">
        <v>2533</v>
      </c>
      <c r="AE126" s="5" t="s">
        <v>2534</v>
      </c>
      <c r="AF126" s="5">
        <v>15</v>
      </c>
      <c r="AG126" s="5">
        <v>27</v>
      </c>
      <c r="AH126" s="5">
        <v>29</v>
      </c>
      <c r="AI126" s="5">
        <v>4</v>
      </c>
      <c r="AJ126" s="5">
        <v>38</v>
      </c>
      <c r="AK126" s="5" t="s">
        <v>63</v>
      </c>
      <c r="AL126" s="5" t="s">
        <v>64</v>
      </c>
      <c r="AM126" s="5" t="s">
        <v>65</v>
      </c>
      <c r="AN126" s="5" t="s">
        <v>66</v>
      </c>
      <c r="AO126" s="5" t="s">
        <v>67</v>
      </c>
      <c r="AP126" s="5" t="s">
        <v>21</v>
      </c>
      <c r="AQ126" s="5" t="s">
        <v>54</v>
      </c>
      <c r="AR126" s="5" t="s">
        <v>68</v>
      </c>
      <c r="AS126" s="5" t="s">
        <v>134</v>
      </c>
      <c r="AT126" s="5">
        <v>2020</v>
      </c>
      <c r="AU126" s="5">
        <v>24</v>
      </c>
      <c r="AV126" s="5">
        <v>7</v>
      </c>
      <c r="AW126" s="5" t="s">
        <v>21</v>
      </c>
      <c r="AX126" s="5" t="s">
        <v>21</v>
      </c>
      <c r="AY126" s="5" t="s">
        <v>21</v>
      </c>
      <c r="AZ126" s="5" t="s">
        <v>21</v>
      </c>
      <c r="BA126" s="5">
        <v>1924</v>
      </c>
      <c r="BB126" s="5">
        <v>1929</v>
      </c>
      <c r="BC126" s="5">
        <v>1362361320934214</v>
      </c>
      <c r="BD126" s="5" t="s">
        <v>2535</v>
      </c>
      <c r="BE126" s="5" t="str">
        <f>HYPERLINK("http://dx.doi.org/10.1177/1362361320934214","http://dx.doi.org/10.1177/1362361320934214")</f>
        <v>http://dx.doi.org/10.1177/1362361320934214</v>
      </c>
      <c r="BF126" s="5" t="s">
        <v>21</v>
      </c>
      <c r="BG126" s="5" t="s">
        <v>1800</v>
      </c>
      <c r="BH126" s="5">
        <v>6</v>
      </c>
      <c r="BI126" s="5" t="s">
        <v>44</v>
      </c>
      <c r="BJ126" s="5" t="s">
        <v>45</v>
      </c>
      <c r="BK126" s="5" t="s">
        <v>46</v>
      </c>
      <c r="BL126" s="5" t="s">
        <v>2536</v>
      </c>
      <c r="BM126" s="5">
        <v>32615771</v>
      </c>
      <c r="BN126" s="5" t="s">
        <v>21</v>
      </c>
      <c r="BO126" s="5" t="s">
        <v>21</v>
      </c>
      <c r="BP126" s="5" t="s">
        <v>21</v>
      </c>
      <c r="BQ126" s="5" t="s">
        <v>49</v>
      </c>
      <c r="BR126" s="5" t="s">
        <v>2537</v>
      </c>
      <c r="BS126" s="5" t="str">
        <f>HYPERLINK("https%3A%2F%2Fwww.webofscience.com%2Fwos%2Fwoscc%2Ffull-record%2FWOS:000545224700001","View Full Record in Web of Science")</f>
        <v>View Full Record in Web of Science</v>
      </c>
    </row>
    <row r="127" spans="1:71" x14ac:dyDescent="0.25">
      <c r="A127" t="s">
        <v>19</v>
      </c>
      <c r="B127" s="5" t="s">
        <v>2538</v>
      </c>
      <c r="C127" s="5" t="s">
        <v>21</v>
      </c>
      <c r="D127" s="5" t="s">
        <v>21</v>
      </c>
      <c r="E127" s="5" t="s">
        <v>21</v>
      </c>
      <c r="F127" s="5" t="s">
        <v>2539</v>
      </c>
      <c r="G127" s="5" t="s">
        <v>21</v>
      </c>
      <c r="H127" s="5" t="s">
        <v>21</v>
      </c>
      <c r="I127" s="5" t="s">
        <v>2540</v>
      </c>
      <c r="J127" s="12" t="s">
        <v>1872</v>
      </c>
      <c r="K127" s="5" t="s">
        <v>21</v>
      </c>
      <c r="L127" s="5" t="s">
        <v>21</v>
      </c>
      <c r="M127" s="5" t="s">
        <v>25</v>
      </c>
      <c r="N127" s="5" t="s">
        <v>26</v>
      </c>
      <c r="O127" s="5" t="s">
        <v>21</v>
      </c>
      <c r="P127" s="5" t="s">
        <v>21</v>
      </c>
      <c r="Q127" s="5" t="s">
        <v>21</v>
      </c>
      <c r="R127" s="5" t="s">
        <v>21</v>
      </c>
      <c r="S127" s="5" t="s">
        <v>21</v>
      </c>
      <c r="T127" s="5" t="s">
        <v>21</v>
      </c>
      <c r="U127" s="5" t="s">
        <v>2541</v>
      </c>
      <c r="V127" s="5" t="s">
        <v>2542</v>
      </c>
      <c r="W127" s="5" t="s">
        <v>2543</v>
      </c>
      <c r="X127" s="5" t="s">
        <v>2544</v>
      </c>
      <c r="Y127" s="5" t="s">
        <v>2545</v>
      </c>
      <c r="Z127" s="5" t="s">
        <v>2546</v>
      </c>
      <c r="AA127" s="5" t="s">
        <v>2547</v>
      </c>
      <c r="AB127" s="5" t="s">
        <v>21</v>
      </c>
      <c r="AC127" s="5" t="s">
        <v>21</v>
      </c>
      <c r="AD127" s="5" t="s">
        <v>21</v>
      </c>
      <c r="AE127" s="5" t="s">
        <v>21</v>
      </c>
      <c r="AF127" s="5">
        <v>51</v>
      </c>
      <c r="AG127" s="5">
        <v>27</v>
      </c>
      <c r="AH127" s="5">
        <v>37</v>
      </c>
      <c r="AI127" s="5">
        <v>1</v>
      </c>
      <c r="AJ127" s="5">
        <v>54</v>
      </c>
      <c r="AK127" s="5" t="s">
        <v>1883</v>
      </c>
      <c r="AL127" s="5" t="s">
        <v>1884</v>
      </c>
      <c r="AM127" s="5" t="s">
        <v>1885</v>
      </c>
      <c r="AN127" s="5" t="s">
        <v>1886</v>
      </c>
      <c r="AO127" s="5" t="s">
        <v>21</v>
      </c>
      <c r="AP127" s="5" t="s">
        <v>21</v>
      </c>
      <c r="AQ127" s="5" t="s">
        <v>1887</v>
      </c>
      <c r="AR127" s="5" t="s">
        <v>1888</v>
      </c>
      <c r="AS127" s="5" t="s">
        <v>116</v>
      </c>
      <c r="AT127" s="5">
        <v>2016</v>
      </c>
      <c r="AU127" s="5">
        <v>51</v>
      </c>
      <c r="AV127" s="5">
        <v>3</v>
      </c>
      <c r="AW127" s="5" t="s">
        <v>21</v>
      </c>
      <c r="AX127" s="5" t="s">
        <v>21</v>
      </c>
      <c r="AY127" s="5" t="s">
        <v>21</v>
      </c>
      <c r="AZ127" s="5" t="s">
        <v>21</v>
      </c>
      <c r="BA127" s="5">
        <v>223</v>
      </c>
      <c r="BB127" s="5">
        <v>237</v>
      </c>
      <c r="BC127" s="5" t="s">
        <v>21</v>
      </c>
      <c r="BD127" s="5" t="s">
        <v>21</v>
      </c>
      <c r="BE127" s="5" t="s">
        <v>21</v>
      </c>
      <c r="BF127" s="5" t="s">
        <v>21</v>
      </c>
      <c r="BG127" s="5" t="s">
        <v>21</v>
      </c>
      <c r="BH127" s="5">
        <v>15</v>
      </c>
      <c r="BI127" s="5" t="s">
        <v>887</v>
      </c>
      <c r="BJ127" s="5" t="s">
        <v>45</v>
      </c>
      <c r="BK127" s="5" t="s">
        <v>888</v>
      </c>
      <c r="BL127" s="5" t="s">
        <v>1889</v>
      </c>
      <c r="BM127" s="5" t="s">
        <v>21</v>
      </c>
      <c r="BN127" s="5" t="s">
        <v>21</v>
      </c>
      <c r="BO127" s="5" t="s">
        <v>21</v>
      </c>
      <c r="BP127" s="5" t="s">
        <v>21</v>
      </c>
      <c r="BQ127" s="5" t="s">
        <v>49</v>
      </c>
      <c r="BR127" s="5" t="s">
        <v>2548</v>
      </c>
      <c r="BS127" s="5" t="str">
        <f>HYPERLINK("https%3A%2F%2Fwww.webofscience.com%2Fwos%2Fwoscc%2Ffull-record%2FWOS:000381539300001","View Full Record in Web of Science")</f>
        <v>View Full Record in Web of Science</v>
      </c>
    </row>
    <row r="128" spans="1:71" x14ac:dyDescent="0.25">
      <c r="A128" t="s">
        <v>19</v>
      </c>
      <c r="B128" s="5" t="s">
        <v>2549</v>
      </c>
      <c r="C128" s="5" t="s">
        <v>21</v>
      </c>
      <c r="D128" s="5" t="s">
        <v>21</v>
      </c>
      <c r="E128" s="5" t="s">
        <v>21</v>
      </c>
      <c r="F128" s="5" t="s">
        <v>2550</v>
      </c>
      <c r="G128" s="5" t="s">
        <v>21</v>
      </c>
      <c r="H128" s="5" t="s">
        <v>21</v>
      </c>
      <c r="I128" s="5" t="s">
        <v>2551</v>
      </c>
      <c r="J128" s="12" t="s">
        <v>2552</v>
      </c>
      <c r="K128" s="5" t="s">
        <v>21</v>
      </c>
      <c r="L128" s="5" t="s">
        <v>21</v>
      </c>
      <c r="M128" s="5" t="s">
        <v>25</v>
      </c>
      <c r="N128" s="5" t="s">
        <v>26</v>
      </c>
      <c r="O128" s="5" t="s">
        <v>21</v>
      </c>
      <c r="P128" s="5" t="s">
        <v>21</v>
      </c>
      <c r="Q128" s="5" t="s">
        <v>21</v>
      </c>
      <c r="R128" s="5" t="s">
        <v>21</v>
      </c>
      <c r="S128" s="5" t="s">
        <v>21</v>
      </c>
      <c r="T128" s="5" t="s">
        <v>2553</v>
      </c>
      <c r="U128" s="5" t="s">
        <v>2554</v>
      </c>
      <c r="V128" s="5" t="s">
        <v>2555</v>
      </c>
      <c r="W128" s="5" t="s">
        <v>2556</v>
      </c>
      <c r="X128" s="5" t="s">
        <v>2557</v>
      </c>
      <c r="Y128" s="5" t="s">
        <v>2558</v>
      </c>
      <c r="Z128" s="5" t="s">
        <v>962</v>
      </c>
      <c r="AA128" s="5" t="s">
        <v>2559</v>
      </c>
      <c r="AB128" s="5" t="s">
        <v>2560</v>
      </c>
      <c r="AC128" s="5" t="s">
        <v>21</v>
      </c>
      <c r="AD128" s="5" t="s">
        <v>21</v>
      </c>
      <c r="AE128" s="5" t="s">
        <v>21</v>
      </c>
      <c r="AF128" s="5">
        <v>51</v>
      </c>
      <c r="AG128" s="5">
        <v>26</v>
      </c>
      <c r="AH128" s="5">
        <v>28</v>
      </c>
      <c r="AI128" s="5">
        <v>7</v>
      </c>
      <c r="AJ128" s="5">
        <v>68</v>
      </c>
      <c r="AK128" s="5" t="s">
        <v>110</v>
      </c>
      <c r="AL128" s="5" t="s">
        <v>84</v>
      </c>
      <c r="AM128" s="5" t="s">
        <v>111</v>
      </c>
      <c r="AN128" s="5" t="s">
        <v>2561</v>
      </c>
      <c r="AO128" s="5" t="s">
        <v>2562</v>
      </c>
      <c r="AP128" s="5" t="s">
        <v>21</v>
      </c>
      <c r="AQ128" s="5" t="s">
        <v>2563</v>
      </c>
      <c r="AR128" s="5" t="s">
        <v>2564</v>
      </c>
      <c r="AS128" s="5" t="s">
        <v>782</v>
      </c>
      <c r="AT128" s="5">
        <v>2021</v>
      </c>
      <c r="AU128" s="5">
        <v>111</v>
      </c>
      <c r="AV128" s="5" t="s">
        <v>21</v>
      </c>
      <c r="AW128" s="5" t="s">
        <v>21</v>
      </c>
      <c r="AX128" s="5" t="s">
        <v>21</v>
      </c>
      <c r="AY128" s="5" t="s">
        <v>21</v>
      </c>
      <c r="AZ128" s="5" t="s">
        <v>21</v>
      </c>
      <c r="BA128" s="5" t="s">
        <v>21</v>
      </c>
      <c r="BB128" s="5" t="s">
        <v>21</v>
      </c>
      <c r="BC128" s="5">
        <v>103885</v>
      </c>
      <c r="BD128" s="5" t="s">
        <v>2565</v>
      </c>
      <c r="BE128" s="5" t="str">
        <f>HYPERLINK("http://dx.doi.org/10.1016/j.ridd.2021.103885","http://dx.doi.org/10.1016/j.ridd.2021.103885")</f>
        <v>http://dx.doi.org/10.1016/j.ridd.2021.103885</v>
      </c>
      <c r="BF128" s="5" t="s">
        <v>21</v>
      </c>
      <c r="BG128" s="5" t="s">
        <v>1699</v>
      </c>
      <c r="BH128" s="5">
        <v>11</v>
      </c>
      <c r="BI128" s="5" t="s">
        <v>887</v>
      </c>
      <c r="BJ128" s="5" t="s">
        <v>45</v>
      </c>
      <c r="BK128" s="5" t="s">
        <v>888</v>
      </c>
      <c r="BL128" s="5" t="s">
        <v>2566</v>
      </c>
      <c r="BM128" s="5">
        <v>33548742</v>
      </c>
      <c r="BN128" s="5" t="s">
        <v>1076</v>
      </c>
      <c r="BO128" s="5" t="s">
        <v>21</v>
      </c>
      <c r="BP128" s="5" t="s">
        <v>21</v>
      </c>
      <c r="BQ128" s="5" t="s">
        <v>49</v>
      </c>
      <c r="BR128" s="5" t="s">
        <v>2567</v>
      </c>
      <c r="BS128" s="5" t="str">
        <f>HYPERLINK("https%3A%2F%2Fwww.webofscience.com%2Fwos%2Fwoscc%2Ffull-record%2FWOS:000630229100015","View Full Record in Web of Science")</f>
        <v>View Full Record in Web of Science</v>
      </c>
    </row>
    <row r="129" spans="1:71" x14ac:dyDescent="0.25">
      <c r="A129" t="s">
        <v>19</v>
      </c>
      <c r="B129" s="5" t="s">
        <v>2568</v>
      </c>
      <c r="C129" s="5" t="s">
        <v>21</v>
      </c>
      <c r="D129" s="5" t="s">
        <v>21</v>
      </c>
      <c r="E129" s="5" t="s">
        <v>21</v>
      </c>
      <c r="F129" s="5" t="s">
        <v>2569</v>
      </c>
      <c r="G129" s="5" t="s">
        <v>21</v>
      </c>
      <c r="H129" s="5" t="s">
        <v>21</v>
      </c>
      <c r="I129" s="5" t="s">
        <v>2570</v>
      </c>
      <c r="J129" s="12" t="s">
        <v>24</v>
      </c>
      <c r="K129" s="5" t="s">
        <v>21</v>
      </c>
      <c r="L129" s="5" t="s">
        <v>21</v>
      </c>
      <c r="M129" s="5" t="s">
        <v>25</v>
      </c>
      <c r="N129" s="5" t="s">
        <v>26</v>
      </c>
      <c r="O129" s="5" t="s">
        <v>21</v>
      </c>
      <c r="P129" s="5" t="s">
        <v>21</v>
      </c>
      <c r="Q129" s="5" t="s">
        <v>21</v>
      </c>
      <c r="R129" s="5" t="s">
        <v>21</v>
      </c>
      <c r="S129" s="5" t="s">
        <v>21</v>
      </c>
      <c r="T129" s="5" t="s">
        <v>2571</v>
      </c>
      <c r="U129" s="5" t="s">
        <v>2572</v>
      </c>
      <c r="V129" s="5" t="s">
        <v>2573</v>
      </c>
      <c r="W129" s="5" t="s">
        <v>2574</v>
      </c>
      <c r="X129" s="5" t="s">
        <v>702</v>
      </c>
      <c r="Y129" s="5" t="s">
        <v>2575</v>
      </c>
      <c r="Z129" s="5" t="s">
        <v>2576</v>
      </c>
      <c r="AA129" s="5" t="s">
        <v>705</v>
      </c>
      <c r="AB129" s="5" t="s">
        <v>1106</v>
      </c>
      <c r="AC129" s="5" t="s">
        <v>2577</v>
      </c>
      <c r="AD129" s="5" t="s">
        <v>2578</v>
      </c>
      <c r="AE129" s="5" t="s">
        <v>2579</v>
      </c>
      <c r="AF129" s="5">
        <v>42</v>
      </c>
      <c r="AG129" s="5">
        <v>26</v>
      </c>
      <c r="AH129" s="5">
        <v>28</v>
      </c>
      <c r="AI129" s="5">
        <v>2</v>
      </c>
      <c r="AJ129" s="5">
        <v>51</v>
      </c>
      <c r="AK129" s="5" t="s">
        <v>35</v>
      </c>
      <c r="AL129" s="5" t="s">
        <v>36</v>
      </c>
      <c r="AM129" s="5" t="s">
        <v>37</v>
      </c>
      <c r="AN129" s="5" t="s">
        <v>38</v>
      </c>
      <c r="AO129" s="5" t="s">
        <v>39</v>
      </c>
      <c r="AP129" s="5" t="s">
        <v>21</v>
      </c>
      <c r="AQ129" s="5" t="s">
        <v>40</v>
      </c>
      <c r="AR129" s="5" t="s">
        <v>41</v>
      </c>
      <c r="AS129" s="5" t="s">
        <v>199</v>
      </c>
      <c r="AT129" s="5">
        <v>2018</v>
      </c>
      <c r="AU129" s="5">
        <v>48</v>
      </c>
      <c r="AV129" s="5">
        <v>8</v>
      </c>
      <c r="AW129" s="5" t="s">
        <v>21</v>
      </c>
      <c r="AX129" s="5" t="s">
        <v>21</v>
      </c>
      <c r="AY129" s="5" t="s">
        <v>21</v>
      </c>
      <c r="AZ129" s="5" t="s">
        <v>21</v>
      </c>
      <c r="BA129" s="5">
        <v>2779</v>
      </c>
      <c r="BB129" s="5">
        <v>2789</v>
      </c>
      <c r="BC129" s="5" t="s">
        <v>21</v>
      </c>
      <c r="BD129" s="5" t="s">
        <v>2580</v>
      </c>
      <c r="BE129" s="5" t="str">
        <f>HYPERLINK("http://dx.doi.org/10.1007/s10803-018-3544-7","http://dx.doi.org/10.1007/s10803-018-3544-7")</f>
        <v>http://dx.doi.org/10.1007/s10803-018-3544-7</v>
      </c>
      <c r="BF129" s="5" t="s">
        <v>21</v>
      </c>
      <c r="BG129" s="5" t="s">
        <v>21</v>
      </c>
      <c r="BH129" s="5">
        <v>11</v>
      </c>
      <c r="BI129" s="5" t="s">
        <v>44</v>
      </c>
      <c r="BJ129" s="5" t="s">
        <v>45</v>
      </c>
      <c r="BK129" s="5" t="s">
        <v>46</v>
      </c>
      <c r="BL129" s="5" t="s">
        <v>2581</v>
      </c>
      <c r="BM129" s="5">
        <v>29560561</v>
      </c>
      <c r="BN129" s="5" t="s">
        <v>137</v>
      </c>
      <c r="BO129" s="5" t="s">
        <v>21</v>
      </c>
      <c r="BP129" s="5" t="s">
        <v>21</v>
      </c>
      <c r="BQ129" s="5" t="s">
        <v>49</v>
      </c>
      <c r="BR129" s="5" t="s">
        <v>2582</v>
      </c>
      <c r="BS129" s="5" t="str">
        <f>HYPERLINK("https%3A%2F%2Fwww.webofscience.com%2Fwos%2Fwoscc%2Ffull-record%2FWOS:000438280000017","View Full Record in Web of Science")</f>
        <v>View Full Record in Web of Science</v>
      </c>
    </row>
    <row r="130" spans="1:71" x14ac:dyDescent="0.25">
      <c r="A130" t="s">
        <v>19</v>
      </c>
      <c r="B130" s="5" t="s">
        <v>2583</v>
      </c>
      <c r="C130" s="5" t="s">
        <v>21</v>
      </c>
      <c r="D130" s="5" t="s">
        <v>21</v>
      </c>
      <c r="E130" s="5" t="s">
        <v>21</v>
      </c>
      <c r="F130" s="5" t="s">
        <v>2584</v>
      </c>
      <c r="G130" s="5" t="s">
        <v>21</v>
      </c>
      <c r="H130" s="5" t="s">
        <v>21</v>
      </c>
      <c r="I130" s="5" t="s">
        <v>2585</v>
      </c>
      <c r="J130" s="12" t="s">
        <v>24</v>
      </c>
      <c r="K130" s="5" t="s">
        <v>21</v>
      </c>
      <c r="L130" s="5" t="s">
        <v>21</v>
      </c>
      <c r="M130" s="5" t="s">
        <v>25</v>
      </c>
      <c r="N130" s="5" t="s">
        <v>26</v>
      </c>
      <c r="O130" s="5" t="s">
        <v>21</v>
      </c>
      <c r="P130" s="5" t="s">
        <v>21</v>
      </c>
      <c r="Q130" s="5" t="s">
        <v>21</v>
      </c>
      <c r="R130" s="5" t="s">
        <v>21</v>
      </c>
      <c r="S130" s="5" t="s">
        <v>21</v>
      </c>
      <c r="T130" s="5" t="s">
        <v>2586</v>
      </c>
      <c r="U130" s="5" t="s">
        <v>2587</v>
      </c>
      <c r="V130" s="5" t="s">
        <v>2588</v>
      </c>
      <c r="W130" s="5" t="s">
        <v>2589</v>
      </c>
      <c r="X130" s="5" t="s">
        <v>2375</v>
      </c>
      <c r="Y130" s="5" t="s">
        <v>2590</v>
      </c>
      <c r="Z130" s="5" t="s">
        <v>2591</v>
      </c>
      <c r="AA130" s="5" t="s">
        <v>705</v>
      </c>
      <c r="AB130" s="5" t="s">
        <v>1106</v>
      </c>
      <c r="AC130" s="5" t="s">
        <v>2592</v>
      </c>
      <c r="AD130" s="5" t="s">
        <v>1108</v>
      </c>
      <c r="AE130" s="5" t="s">
        <v>2593</v>
      </c>
      <c r="AF130" s="5">
        <v>60</v>
      </c>
      <c r="AG130" s="5">
        <v>25</v>
      </c>
      <c r="AH130" s="5">
        <v>28</v>
      </c>
      <c r="AI130" s="5">
        <v>10</v>
      </c>
      <c r="AJ130" s="5">
        <v>76</v>
      </c>
      <c r="AK130" s="5" t="s">
        <v>35</v>
      </c>
      <c r="AL130" s="5" t="s">
        <v>36</v>
      </c>
      <c r="AM130" s="5" t="s">
        <v>37</v>
      </c>
      <c r="AN130" s="5" t="s">
        <v>38</v>
      </c>
      <c r="AO130" s="5" t="s">
        <v>39</v>
      </c>
      <c r="AP130" s="5" t="s">
        <v>21</v>
      </c>
      <c r="AQ130" s="5" t="s">
        <v>40</v>
      </c>
      <c r="AR130" s="5" t="s">
        <v>41</v>
      </c>
      <c r="AS130" s="5" t="s">
        <v>42</v>
      </c>
      <c r="AT130" s="5">
        <v>2020</v>
      </c>
      <c r="AU130" s="5">
        <v>50</v>
      </c>
      <c r="AV130" s="5">
        <v>1</v>
      </c>
      <c r="AW130" s="5" t="s">
        <v>21</v>
      </c>
      <c r="AX130" s="5" t="s">
        <v>21</v>
      </c>
      <c r="AY130" s="5" t="s">
        <v>21</v>
      </c>
      <c r="AZ130" s="5" t="s">
        <v>21</v>
      </c>
      <c r="BA130" s="5">
        <v>199</v>
      </c>
      <c r="BB130" s="5">
        <v>211</v>
      </c>
      <c r="BC130" s="5" t="s">
        <v>21</v>
      </c>
      <c r="BD130" s="5" t="s">
        <v>2594</v>
      </c>
      <c r="BE130" s="5" t="str">
        <f>HYPERLINK("http://dx.doi.org/10.1007/s10803-019-04246-z","http://dx.doi.org/10.1007/s10803-019-04246-z")</f>
        <v>http://dx.doi.org/10.1007/s10803-019-04246-z</v>
      </c>
      <c r="BF130" s="5" t="s">
        <v>21</v>
      </c>
      <c r="BG130" s="5" t="s">
        <v>2460</v>
      </c>
      <c r="BH130" s="5">
        <v>13</v>
      </c>
      <c r="BI130" s="5" t="s">
        <v>44</v>
      </c>
      <c r="BJ130" s="5" t="s">
        <v>45</v>
      </c>
      <c r="BK130" s="5" t="s">
        <v>46</v>
      </c>
      <c r="BL130" s="5" t="s">
        <v>2595</v>
      </c>
      <c r="BM130" s="5">
        <v>31583625</v>
      </c>
      <c r="BN130" s="5" t="s">
        <v>137</v>
      </c>
      <c r="BO130" s="5" t="s">
        <v>21</v>
      </c>
      <c r="BP130" s="5" t="s">
        <v>21</v>
      </c>
      <c r="BQ130" s="5" t="s">
        <v>49</v>
      </c>
      <c r="BR130" s="5" t="s">
        <v>2596</v>
      </c>
      <c r="BS130" s="5" t="str">
        <f>HYPERLINK("https%3A%2F%2Fwww.webofscience.com%2Fwos%2Fwoscc%2Ffull-record%2FWOS:000489527000003","View Full Record in Web of Science")</f>
        <v>View Full Record in Web of Science</v>
      </c>
    </row>
    <row r="131" spans="1:71" x14ac:dyDescent="0.25">
      <c r="A131" t="s">
        <v>19</v>
      </c>
      <c r="B131" s="5" t="s">
        <v>2597</v>
      </c>
      <c r="C131" s="5" t="s">
        <v>21</v>
      </c>
      <c r="D131" s="5" t="s">
        <v>21</v>
      </c>
      <c r="E131" s="5" t="s">
        <v>21</v>
      </c>
      <c r="F131" s="5" t="s">
        <v>2598</v>
      </c>
      <c r="G131" s="5" t="s">
        <v>21</v>
      </c>
      <c r="H131" s="5" t="s">
        <v>21</v>
      </c>
      <c r="I131" s="5" t="s">
        <v>2599</v>
      </c>
      <c r="J131" s="12" t="s">
        <v>2600</v>
      </c>
      <c r="K131" s="5" t="s">
        <v>21</v>
      </c>
      <c r="L131" s="5" t="s">
        <v>21</v>
      </c>
      <c r="M131" s="5" t="s">
        <v>25</v>
      </c>
      <c r="N131" s="5" t="s">
        <v>26</v>
      </c>
      <c r="O131" s="5" t="s">
        <v>21</v>
      </c>
      <c r="P131" s="5" t="s">
        <v>21</v>
      </c>
      <c r="Q131" s="5" t="s">
        <v>21</v>
      </c>
      <c r="R131" s="5" t="s">
        <v>21</v>
      </c>
      <c r="S131" s="5" t="s">
        <v>21</v>
      </c>
      <c r="T131" s="5" t="s">
        <v>21</v>
      </c>
      <c r="U131" s="5" t="s">
        <v>2601</v>
      </c>
      <c r="V131" s="5" t="s">
        <v>2602</v>
      </c>
      <c r="W131" s="5" t="s">
        <v>2603</v>
      </c>
      <c r="X131" s="5" t="s">
        <v>2604</v>
      </c>
      <c r="Y131" s="5" t="s">
        <v>2605</v>
      </c>
      <c r="Z131" s="5" t="s">
        <v>2606</v>
      </c>
      <c r="AA131" s="5" t="s">
        <v>2607</v>
      </c>
      <c r="AB131" s="5" t="s">
        <v>2608</v>
      </c>
      <c r="AC131" s="5" t="s">
        <v>2609</v>
      </c>
      <c r="AD131" s="5" t="s">
        <v>2610</v>
      </c>
      <c r="AE131" s="5" t="s">
        <v>2611</v>
      </c>
      <c r="AF131" s="5">
        <v>75</v>
      </c>
      <c r="AG131" s="5">
        <v>24</v>
      </c>
      <c r="AH131" s="5">
        <v>27</v>
      </c>
      <c r="AI131" s="5">
        <v>0</v>
      </c>
      <c r="AJ131" s="5">
        <v>22</v>
      </c>
      <c r="AK131" s="5" t="s">
        <v>2612</v>
      </c>
      <c r="AL131" s="5" t="s">
        <v>2315</v>
      </c>
      <c r="AM131" s="5" t="s">
        <v>2613</v>
      </c>
      <c r="AN131" s="5" t="s">
        <v>2614</v>
      </c>
      <c r="AO131" s="5" t="s">
        <v>21</v>
      </c>
      <c r="AP131" s="5" t="s">
        <v>21</v>
      </c>
      <c r="AQ131" s="5" t="s">
        <v>2615</v>
      </c>
      <c r="AR131" s="5" t="s">
        <v>2616</v>
      </c>
      <c r="AS131" s="5" t="s">
        <v>2617</v>
      </c>
      <c r="AT131" s="5">
        <v>2021</v>
      </c>
      <c r="AU131" s="5">
        <v>11</v>
      </c>
      <c r="AV131" s="5">
        <v>1</v>
      </c>
      <c r="AW131" s="5" t="s">
        <v>21</v>
      </c>
      <c r="AX131" s="5" t="s">
        <v>21</v>
      </c>
      <c r="AY131" s="5" t="s">
        <v>21</v>
      </c>
      <c r="AZ131" s="5" t="s">
        <v>21</v>
      </c>
      <c r="BA131" s="5" t="s">
        <v>21</v>
      </c>
      <c r="BB131" s="5" t="s">
        <v>21</v>
      </c>
      <c r="BC131" s="5">
        <v>20377</v>
      </c>
      <c r="BD131" s="5" t="s">
        <v>2618</v>
      </c>
      <c r="BE131" s="5" t="str">
        <f>HYPERLINK("http://dx.doi.org/10.1038/s41598-021-99864-y","http://dx.doi.org/10.1038/s41598-021-99864-y")</f>
        <v>http://dx.doi.org/10.1038/s41598-021-99864-y</v>
      </c>
      <c r="BF131" s="5" t="s">
        <v>21</v>
      </c>
      <c r="BG131" s="5" t="s">
        <v>21</v>
      </c>
      <c r="BH131" s="5">
        <v>14</v>
      </c>
      <c r="BI131" s="5" t="s">
        <v>568</v>
      </c>
      <c r="BJ131" s="5" t="s">
        <v>92</v>
      </c>
      <c r="BK131" s="5" t="s">
        <v>569</v>
      </c>
      <c r="BL131" s="5" t="s">
        <v>2619</v>
      </c>
      <c r="BM131" s="5">
        <v>34645899</v>
      </c>
      <c r="BN131" s="5" t="s">
        <v>163</v>
      </c>
      <c r="BO131" s="5" t="s">
        <v>21</v>
      </c>
      <c r="BP131" s="5" t="s">
        <v>21</v>
      </c>
      <c r="BQ131" s="5" t="s">
        <v>49</v>
      </c>
      <c r="BR131" s="5" t="s">
        <v>2620</v>
      </c>
      <c r="BS131" s="5" t="str">
        <f>HYPERLINK("https%3A%2F%2Fwww.webofscience.com%2Fwos%2Fwoscc%2Ffull-record%2FWOS:000707032500082","View Full Record in Web of Science")</f>
        <v>View Full Record in Web of Science</v>
      </c>
    </row>
    <row r="132" spans="1:71" x14ac:dyDescent="0.25">
      <c r="A132" t="s">
        <v>19</v>
      </c>
      <c r="B132" s="5" t="s">
        <v>2621</v>
      </c>
      <c r="C132" s="5" t="s">
        <v>21</v>
      </c>
      <c r="D132" s="5" t="s">
        <v>21</v>
      </c>
      <c r="E132" s="5" t="s">
        <v>21</v>
      </c>
      <c r="F132" s="5" t="s">
        <v>2622</v>
      </c>
      <c r="G132" s="5" t="s">
        <v>21</v>
      </c>
      <c r="H132" s="5" t="s">
        <v>21</v>
      </c>
      <c r="I132" s="5" t="s">
        <v>2623</v>
      </c>
      <c r="J132" s="12" t="s">
        <v>1978</v>
      </c>
      <c r="K132" s="5" t="s">
        <v>21</v>
      </c>
      <c r="L132" s="5" t="s">
        <v>21</v>
      </c>
      <c r="M132" s="5" t="s">
        <v>25</v>
      </c>
      <c r="N132" s="5" t="s">
        <v>26</v>
      </c>
      <c r="O132" s="5" t="s">
        <v>21</v>
      </c>
      <c r="P132" s="5" t="s">
        <v>21</v>
      </c>
      <c r="Q132" s="5" t="s">
        <v>21</v>
      </c>
      <c r="R132" s="5" t="s">
        <v>21</v>
      </c>
      <c r="S132" s="5" t="s">
        <v>21</v>
      </c>
      <c r="T132" s="5" t="s">
        <v>21</v>
      </c>
      <c r="U132" s="5" t="s">
        <v>2624</v>
      </c>
      <c r="V132" s="5" t="s">
        <v>2625</v>
      </c>
      <c r="W132" s="5" t="s">
        <v>2626</v>
      </c>
      <c r="X132" s="5" t="s">
        <v>874</v>
      </c>
      <c r="Y132" s="5" t="s">
        <v>2627</v>
      </c>
      <c r="Z132" s="5" t="s">
        <v>2628</v>
      </c>
      <c r="AA132" s="5" t="s">
        <v>876</v>
      </c>
      <c r="AB132" s="5" t="s">
        <v>1984</v>
      </c>
      <c r="AC132" s="5" t="s">
        <v>2629</v>
      </c>
      <c r="AD132" s="5" t="s">
        <v>2630</v>
      </c>
      <c r="AE132" s="5" t="s">
        <v>2631</v>
      </c>
      <c r="AF132" s="5">
        <v>47</v>
      </c>
      <c r="AG132" s="5">
        <v>24</v>
      </c>
      <c r="AH132" s="5">
        <v>24</v>
      </c>
      <c r="AI132" s="5">
        <v>20</v>
      </c>
      <c r="AJ132" s="5">
        <v>121</v>
      </c>
      <c r="AK132" s="5" t="s">
        <v>1292</v>
      </c>
      <c r="AL132" s="5" t="s">
        <v>252</v>
      </c>
      <c r="AM132" s="5" t="s">
        <v>1293</v>
      </c>
      <c r="AN132" s="5" t="s">
        <v>1987</v>
      </c>
      <c r="AO132" s="5" t="s">
        <v>1988</v>
      </c>
      <c r="AP132" s="5" t="s">
        <v>21</v>
      </c>
      <c r="AQ132" s="5" t="s">
        <v>1989</v>
      </c>
      <c r="AR132" s="5" t="s">
        <v>1990</v>
      </c>
      <c r="AS132" s="5" t="s">
        <v>116</v>
      </c>
      <c r="AT132" s="5">
        <v>2020</v>
      </c>
      <c r="AU132" s="5">
        <v>51</v>
      </c>
      <c r="AV132" s="5">
        <v>5</v>
      </c>
      <c r="AW132" s="5" t="s">
        <v>21</v>
      </c>
      <c r="AX132" s="5" t="s">
        <v>21</v>
      </c>
      <c r="AY132" s="5" t="s">
        <v>21</v>
      </c>
      <c r="AZ132" s="5" t="s">
        <v>21</v>
      </c>
      <c r="BA132" s="5">
        <v>1766</v>
      </c>
      <c r="BB132" s="5">
        <v>1784</v>
      </c>
      <c r="BC132" s="5" t="s">
        <v>21</v>
      </c>
      <c r="BD132" s="5" t="s">
        <v>2632</v>
      </c>
      <c r="BE132" s="5" t="str">
        <f>HYPERLINK("http://dx.doi.org/10.1111/bjet.13005","http://dx.doi.org/10.1111/bjet.13005")</f>
        <v>http://dx.doi.org/10.1111/bjet.13005</v>
      </c>
      <c r="BF132" s="5" t="s">
        <v>21</v>
      </c>
      <c r="BG132" s="5" t="s">
        <v>1800</v>
      </c>
      <c r="BH132" s="5">
        <v>19</v>
      </c>
      <c r="BI132" s="5" t="s">
        <v>503</v>
      </c>
      <c r="BJ132" s="5" t="s">
        <v>45</v>
      </c>
      <c r="BK132" s="5" t="s">
        <v>503</v>
      </c>
      <c r="BL132" s="5" t="s">
        <v>2633</v>
      </c>
      <c r="BM132" s="5" t="s">
        <v>21</v>
      </c>
      <c r="BN132" s="5" t="s">
        <v>21</v>
      </c>
      <c r="BO132" s="5" t="s">
        <v>21</v>
      </c>
      <c r="BP132" s="5" t="s">
        <v>21</v>
      </c>
      <c r="BQ132" s="5" t="s">
        <v>49</v>
      </c>
      <c r="BR132" s="5" t="s">
        <v>2634</v>
      </c>
      <c r="BS132" s="5" t="str">
        <f>HYPERLINK("https%3A%2F%2Fwww.webofscience.com%2Fwos%2Fwoscc%2Ffull-record%2FWOS:000549762700001","View Full Record in Web of Science")</f>
        <v>View Full Record in Web of Science</v>
      </c>
    </row>
    <row r="133" spans="1:71" x14ac:dyDescent="0.25">
      <c r="A133" t="s">
        <v>19</v>
      </c>
      <c r="B133" s="5" t="s">
        <v>2635</v>
      </c>
      <c r="C133" s="5" t="s">
        <v>21</v>
      </c>
      <c r="D133" s="5" t="s">
        <v>21</v>
      </c>
      <c r="E133" s="5" t="s">
        <v>21</v>
      </c>
      <c r="F133" s="5" t="s">
        <v>2636</v>
      </c>
      <c r="G133" s="5" t="s">
        <v>21</v>
      </c>
      <c r="H133" s="5" t="s">
        <v>21</v>
      </c>
      <c r="I133" s="5" t="s">
        <v>2637</v>
      </c>
      <c r="J133" s="12" t="s">
        <v>697</v>
      </c>
      <c r="K133" s="5" t="s">
        <v>21</v>
      </c>
      <c r="L133" s="5" t="s">
        <v>21</v>
      </c>
      <c r="M133" s="5" t="s">
        <v>25</v>
      </c>
      <c r="N133" s="5" t="s">
        <v>26</v>
      </c>
      <c r="O133" s="5" t="s">
        <v>21</v>
      </c>
      <c r="P133" s="5" t="s">
        <v>21</v>
      </c>
      <c r="Q133" s="5" t="s">
        <v>21</v>
      </c>
      <c r="R133" s="5" t="s">
        <v>21</v>
      </c>
      <c r="S133" s="5" t="s">
        <v>21</v>
      </c>
      <c r="T133" s="5" t="s">
        <v>2638</v>
      </c>
      <c r="U133" s="5" t="s">
        <v>2639</v>
      </c>
      <c r="V133" s="5" t="s">
        <v>2640</v>
      </c>
      <c r="W133" s="5" t="s">
        <v>2641</v>
      </c>
      <c r="X133" s="5" t="s">
        <v>2642</v>
      </c>
      <c r="Y133" s="5" t="s">
        <v>2643</v>
      </c>
      <c r="Z133" s="5" t="s">
        <v>2644</v>
      </c>
      <c r="AA133" s="5" t="s">
        <v>2645</v>
      </c>
      <c r="AB133" s="5" t="s">
        <v>21</v>
      </c>
      <c r="AC133" s="5" t="s">
        <v>2646</v>
      </c>
      <c r="AD133" s="5" t="s">
        <v>2646</v>
      </c>
      <c r="AE133" s="5" t="s">
        <v>2647</v>
      </c>
      <c r="AF133" s="5">
        <v>47</v>
      </c>
      <c r="AG133" s="5">
        <v>24</v>
      </c>
      <c r="AH133" s="5">
        <v>26</v>
      </c>
      <c r="AI133" s="5">
        <v>4</v>
      </c>
      <c r="AJ133" s="5">
        <v>79</v>
      </c>
      <c r="AK133" s="5" t="s">
        <v>659</v>
      </c>
      <c r="AL133" s="5" t="s">
        <v>660</v>
      </c>
      <c r="AM133" s="5" t="s">
        <v>661</v>
      </c>
      <c r="AN133" s="5" t="s">
        <v>710</v>
      </c>
      <c r="AO133" s="5" t="s">
        <v>21</v>
      </c>
      <c r="AP133" s="5" t="s">
        <v>21</v>
      </c>
      <c r="AQ133" s="5" t="s">
        <v>711</v>
      </c>
      <c r="AR133" s="5" t="s">
        <v>712</v>
      </c>
      <c r="AS133" s="5" t="s">
        <v>2648</v>
      </c>
      <c r="AT133" s="5">
        <v>2018</v>
      </c>
      <c r="AU133" s="5">
        <v>9</v>
      </c>
      <c r="AV133" s="5">
        <v>4</v>
      </c>
      <c r="AW133" s="5" t="s">
        <v>21</v>
      </c>
      <c r="AX133" s="5" t="s">
        <v>21</v>
      </c>
      <c r="AY133" s="5" t="s">
        <v>21</v>
      </c>
      <c r="AZ133" s="5" t="s">
        <v>21</v>
      </c>
      <c r="BA133" s="5">
        <v>450</v>
      </c>
      <c r="BB133" s="5">
        <v>462</v>
      </c>
      <c r="BC133" s="5" t="s">
        <v>21</v>
      </c>
      <c r="BD133" s="5" t="s">
        <v>2649</v>
      </c>
      <c r="BE133" s="5" t="str">
        <f>HYPERLINK("http://dx.doi.org/10.1109/TAFFC.2016.2641422","http://dx.doi.org/10.1109/TAFFC.2016.2641422")</f>
        <v>http://dx.doi.org/10.1109/TAFFC.2016.2641422</v>
      </c>
      <c r="BF133" s="5" t="s">
        <v>21</v>
      </c>
      <c r="BG133" s="5" t="s">
        <v>21</v>
      </c>
      <c r="BH133" s="5">
        <v>13</v>
      </c>
      <c r="BI133" s="5" t="s">
        <v>714</v>
      </c>
      <c r="BJ133" s="5" t="s">
        <v>92</v>
      </c>
      <c r="BK133" s="5" t="s">
        <v>715</v>
      </c>
      <c r="BL133" s="5" t="s">
        <v>2650</v>
      </c>
      <c r="BM133" s="5" t="s">
        <v>21</v>
      </c>
      <c r="BN133" s="5" t="s">
        <v>21</v>
      </c>
      <c r="BO133" s="5" t="s">
        <v>21</v>
      </c>
      <c r="BP133" s="5" t="s">
        <v>21</v>
      </c>
      <c r="BQ133" s="5" t="s">
        <v>49</v>
      </c>
      <c r="BR133" s="5" t="s">
        <v>2651</v>
      </c>
      <c r="BS133" s="5" t="str">
        <f>HYPERLINK("https%3A%2F%2Fwww.webofscience.com%2Fwos%2Fwoscc%2Ffull-record%2FWOS:000451918200005","View Full Record in Web of Science")</f>
        <v>View Full Record in Web of Science</v>
      </c>
    </row>
    <row r="134" spans="1:71" x14ac:dyDescent="0.25">
      <c r="A134" t="s">
        <v>19</v>
      </c>
      <c r="B134" s="5" t="s">
        <v>2652</v>
      </c>
      <c r="C134" s="5" t="s">
        <v>21</v>
      </c>
      <c r="D134" s="5" t="s">
        <v>21</v>
      </c>
      <c r="E134" s="5" t="s">
        <v>21</v>
      </c>
      <c r="F134" s="5" t="s">
        <v>2653</v>
      </c>
      <c r="G134" s="5" t="s">
        <v>21</v>
      </c>
      <c r="H134" s="5" t="s">
        <v>21</v>
      </c>
      <c r="I134" s="5" t="s">
        <v>2654</v>
      </c>
      <c r="J134" s="12" t="s">
        <v>54</v>
      </c>
      <c r="K134" s="5" t="s">
        <v>21</v>
      </c>
      <c r="L134" s="5" t="s">
        <v>21</v>
      </c>
      <c r="M134" s="5" t="s">
        <v>25</v>
      </c>
      <c r="N134" s="5" t="s">
        <v>26</v>
      </c>
      <c r="O134" s="5" t="s">
        <v>21</v>
      </c>
      <c r="P134" s="5" t="s">
        <v>21</v>
      </c>
      <c r="Q134" s="5" t="s">
        <v>21</v>
      </c>
      <c r="R134" s="5" t="s">
        <v>21</v>
      </c>
      <c r="S134" s="5" t="s">
        <v>21</v>
      </c>
      <c r="T134" s="5" t="s">
        <v>2655</v>
      </c>
      <c r="U134" s="5" t="s">
        <v>2656</v>
      </c>
      <c r="V134" s="5" t="s">
        <v>2657</v>
      </c>
      <c r="W134" s="5" t="s">
        <v>2658</v>
      </c>
      <c r="X134" s="5" t="s">
        <v>2659</v>
      </c>
      <c r="Y134" s="5" t="s">
        <v>2660</v>
      </c>
      <c r="Z134" s="5" t="s">
        <v>2661</v>
      </c>
      <c r="AA134" s="5" t="s">
        <v>1181</v>
      </c>
      <c r="AB134" s="5" t="s">
        <v>2662</v>
      </c>
      <c r="AC134" s="5" t="s">
        <v>2663</v>
      </c>
      <c r="AD134" s="5" t="s">
        <v>2664</v>
      </c>
      <c r="AE134" s="5" t="s">
        <v>2665</v>
      </c>
      <c r="AF134" s="5">
        <v>35</v>
      </c>
      <c r="AG134" s="5">
        <v>24</v>
      </c>
      <c r="AH134" s="5">
        <v>33</v>
      </c>
      <c r="AI134" s="5">
        <v>0</v>
      </c>
      <c r="AJ134" s="5">
        <v>10</v>
      </c>
      <c r="AK134" s="5" t="s">
        <v>63</v>
      </c>
      <c r="AL134" s="5" t="s">
        <v>64</v>
      </c>
      <c r="AM134" s="5" t="s">
        <v>65</v>
      </c>
      <c r="AN134" s="5" t="s">
        <v>66</v>
      </c>
      <c r="AO134" s="5" t="s">
        <v>67</v>
      </c>
      <c r="AP134" s="5" t="s">
        <v>21</v>
      </c>
      <c r="AQ134" s="5" t="s">
        <v>54</v>
      </c>
      <c r="AR134" s="5" t="s">
        <v>68</v>
      </c>
      <c r="AS134" s="5" t="s">
        <v>42</v>
      </c>
      <c r="AT134" s="5">
        <v>2018</v>
      </c>
      <c r="AU134" s="5">
        <v>22</v>
      </c>
      <c r="AV134" s="5">
        <v>1</v>
      </c>
      <c r="AW134" s="5" t="s">
        <v>21</v>
      </c>
      <c r="AX134" s="5" t="s">
        <v>21</v>
      </c>
      <c r="AY134" s="5" t="s">
        <v>501</v>
      </c>
      <c r="AZ134" s="5" t="s">
        <v>21</v>
      </c>
      <c r="BA134" s="5">
        <v>62</v>
      </c>
      <c r="BB134" s="5">
        <v>69</v>
      </c>
      <c r="BC134" s="5" t="s">
        <v>21</v>
      </c>
      <c r="BD134" s="5" t="s">
        <v>2666</v>
      </c>
      <c r="BE134" s="5" t="str">
        <f>HYPERLINK("http://dx.doi.org/10.1177/1362361317735959","http://dx.doi.org/10.1177/1362361317735959")</f>
        <v>http://dx.doi.org/10.1177/1362361317735959</v>
      </c>
      <c r="BF134" s="5" t="s">
        <v>21</v>
      </c>
      <c r="BG134" s="5" t="s">
        <v>21</v>
      </c>
      <c r="BH134" s="5">
        <v>8</v>
      </c>
      <c r="BI134" s="5" t="s">
        <v>44</v>
      </c>
      <c r="BJ134" s="5" t="s">
        <v>45</v>
      </c>
      <c r="BK134" s="5" t="s">
        <v>46</v>
      </c>
      <c r="BL134" s="5" t="s">
        <v>2667</v>
      </c>
      <c r="BM134" s="5">
        <v>29027808</v>
      </c>
      <c r="BN134" s="5" t="s">
        <v>21</v>
      </c>
      <c r="BO134" s="5" t="s">
        <v>21</v>
      </c>
      <c r="BP134" s="5" t="s">
        <v>21</v>
      </c>
      <c r="BQ134" s="5" t="s">
        <v>49</v>
      </c>
      <c r="BR134" s="5" t="s">
        <v>2668</v>
      </c>
      <c r="BS134" s="5" t="str">
        <f>HYPERLINK("https%3A%2F%2Fwww.webofscience.com%2Fwos%2Fwoscc%2Ffull-record%2FWOS:000423320700007","View Full Record in Web of Science")</f>
        <v>View Full Record in Web of Science</v>
      </c>
    </row>
    <row r="135" spans="1:71" x14ac:dyDescent="0.25">
      <c r="A135" t="s">
        <v>19</v>
      </c>
      <c r="B135" s="5" t="s">
        <v>2669</v>
      </c>
      <c r="C135" s="5" t="s">
        <v>21</v>
      </c>
      <c r="D135" s="5" t="s">
        <v>21</v>
      </c>
      <c r="E135" s="5" t="s">
        <v>21</v>
      </c>
      <c r="F135" s="5" t="s">
        <v>2670</v>
      </c>
      <c r="G135" s="5" t="s">
        <v>21</v>
      </c>
      <c r="H135" s="5" t="s">
        <v>21</v>
      </c>
      <c r="I135" s="5" t="s">
        <v>2671</v>
      </c>
      <c r="J135" s="12" t="s">
        <v>2672</v>
      </c>
      <c r="K135" s="5" t="s">
        <v>21</v>
      </c>
      <c r="L135" s="5" t="s">
        <v>21</v>
      </c>
      <c r="M135" s="5" t="s">
        <v>25</v>
      </c>
      <c r="N135" s="5" t="s">
        <v>76</v>
      </c>
      <c r="O135" s="5" t="s">
        <v>21</v>
      </c>
      <c r="P135" s="5" t="s">
        <v>21</v>
      </c>
      <c r="Q135" s="5" t="s">
        <v>21</v>
      </c>
      <c r="R135" s="5" t="s">
        <v>21</v>
      </c>
      <c r="S135" s="5" t="s">
        <v>21</v>
      </c>
      <c r="T135" s="5" t="s">
        <v>2673</v>
      </c>
      <c r="U135" s="5" t="s">
        <v>2674</v>
      </c>
      <c r="V135" s="5" t="s">
        <v>2675</v>
      </c>
      <c r="W135" s="5" t="s">
        <v>2676</v>
      </c>
      <c r="X135" s="5" t="s">
        <v>21</v>
      </c>
      <c r="Y135" s="5" t="s">
        <v>2677</v>
      </c>
      <c r="Z135" s="5" t="s">
        <v>2678</v>
      </c>
      <c r="AA135" s="5" t="s">
        <v>2679</v>
      </c>
      <c r="AB135" s="5" t="s">
        <v>2680</v>
      </c>
      <c r="AC135" s="5" t="s">
        <v>21</v>
      </c>
      <c r="AD135" s="5" t="s">
        <v>21</v>
      </c>
      <c r="AE135" s="5" t="s">
        <v>21</v>
      </c>
      <c r="AF135" s="5">
        <v>24</v>
      </c>
      <c r="AG135" s="5">
        <v>24</v>
      </c>
      <c r="AH135" s="5">
        <v>26</v>
      </c>
      <c r="AI135" s="5">
        <v>0</v>
      </c>
      <c r="AJ135" s="5">
        <v>45</v>
      </c>
      <c r="AK135" s="5" t="s">
        <v>2681</v>
      </c>
      <c r="AL135" s="5" t="s">
        <v>2682</v>
      </c>
      <c r="AM135" s="5" t="s">
        <v>2683</v>
      </c>
      <c r="AN135" s="5" t="s">
        <v>2684</v>
      </c>
      <c r="AO135" s="5" t="s">
        <v>2685</v>
      </c>
      <c r="AP135" s="5" t="s">
        <v>21</v>
      </c>
      <c r="AQ135" s="5" t="s">
        <v>2686</v>
      </c>
      <c r="AR135" s="5" t="s">
        <v>2687</v>
      </c>
      <c r="AS135" s="5" t="s">
        <v>269</v>
      </c>
      <c r="AT135" s="5">
        <v>2013</v>
      </c>
      <c r="AU135" s="5">
        <v>52</v>
      </c>
      <c r="AV135" s="5">
        <v>4</v>
      </c>
      <c r="AW135" s="5" t="s">
        <v>21</v>
      </c>
      <c r="AX135" s="5" t="s">
        <v>21</v>
      </c>
      <c r="AY135" s="5" t="s">
        <v>21</v>
      </c>
      <c r="AZ135" s="5" t="s">
        <v>21</v>
      </c>
      <c r="BA135" s="5">
        <v>453</v>
      </c>
      <c r="BB135" s="5">
        <v>457</v>
      </c>
      <c r="BC135" s="5" t="s">
        <v>21</v>
      </c>
      <c r="BD135" s="5" t="s">
        <v>21</v>
      </c>
      <c r="BE135" s="5" t="s">
        <v>21</v>
      </c>
      <c r="BF135" s="5" t="s">
        <v>21</v>
      </c>
      <c r="BG135" s="5" t="s">
        <v>21</v>
      </c>
      <c r="BH135" s="5">
        <v>5</v>
      </c>
      <c r="BI135" s="5" t="s">
        <v>1603</v>
      </c>
      <c r="BJ135" s="5" t="s">
        <v>524</v>
      </c>
      <c r="BK135" s="5" t="s">
        <v>1604</v>
      </c>
      <c r="BL135" s="5" t="s">
        <v>2688</v>
      </c>
      <c r="BM135" s="5">
        <v>24696995</v>
      </c>
      <c r="BN135" s="5" t="s">
        <v>21</v>
      </c>
      <c r="BO135" s="5" t="s">
        <v>21</v>
      </c>
      <c r="BP135" s="5" t="s">
        <v>21</v>
      </c>
      <c r="BQ135" s="5" t="s">
        <v>49</v>
      </c>
      <c r="BR135" s="5" t="s">
        <v>2689</v>
      </c>
      <c r="BS135" s="5" t="str">
        <f>HYPERLINK("https%3A%2F%2Fwww.webofscience.com%2Fwos%2Fwoscc%2Ffull-record%2FWOS:000332593900006","View Full Record in Web of Science")</f>
        <v>View Full Record in Web of Science</v>
      </c>
    </row>
    <row r="136" spans="1:71" x14ac:dyDescent="0.25">
      <c r="A136" t="s">
        <v>19</v>
      </c>
      <c r="B136" s="5" t="s">
        <v>2690</v>
      </c>
      <c r="C136" s="5" t="s">
        <v>21</v>
      </c>
      <c r="D136" s="5" t="s">
        <v>21</v>
      </c>
      <c r="E136" s="5" t="s">
        <v>21</v>
      </c>
      <c r="F136" s="5" t="s">
        <v>2691</v>
      </c>
      <c r="G136" s="5" t="s">
        <v>21</v>
      </c>
      <c r="H136" s="5" t="s">
        <v>21</v>
      </c>
      <c r="I136" s="5" t="s">
        <v>2692</v>
      </c>
      <c r="J136" s="12" t="s">
        <v>2693</v>
      </c>
      <c r="K136" s="5" t="s">
        <v>21</v>
      </c>
      <c r="L136" s="5" t="s">
        <v>21</v>
      </c>
      <c r="M136" s="5" t="s">
        <v>25</v>
      </c>
      <c r="N136" s="5" t="s">
        <v>76</v>
      </c>
      <c r="O136" s="5" t="s">
        <v>21</v>
      </c>
      <c r="P136" s="5" t="s">
        <v>21</v>
      </c>
      <c r="Q136" s="5" t="s">
        <v>21</v>
      </c>
      <c r="R136" s="5" t="s">
        <v>21</v>
      </c>
      <c r="S136" s="5" t="s">
        <v>21</v>
      </c>
      <c r="T136" s="5" t="s">
        <v>2694</v>
      </c>
      <c r="U136" s="5" t="s">
        <v>2695</v>
      </c>
      <c r="V136" s="5" t="s">
        <v>2696</v>
      </c>
      <c r="W136" s="5" t="s">
        <v>2697</v>
      </c>
      <c r="X136" s="5" t="s">
        <v>2698</v>
      </c>
      <c r="Y136" s="5" t="s">
        <v>2699</v>
      </c>
      <c r="Z136" s="5" t="s">
        <v>2700</v>
      </c>
      <c r="AA136" s="5" t="s">
        <v>2701</v>
      </c>
      <c r="AB136" s="5" t="s">
        <v>2702</v>
      </c>
      <c r="AC136" s="5" t="s">
        <v>2703</v>
      </c>
      <c r="AD136" s="5" t="s">
        <v>2704</v>
      </c>
      <c r="AE136" s="5" t="s">
        <v>2705</v>
      </c>
      <c r="AF136" s="5">
        <v>82</v>
      </c>
      <c r="AG136" s="5">
        <v>23</v>
      </c>
      <c r="AH136" s="5">
        <v>23</v>
      </c>
      <c r="AI136" s="5">
        <v>20</v>
      </c>
      <c r="AJ136" s="5">
        <v>80</v>
      </c>
      <c r="AK136" s="5" t="s">
        <v>2706</v>
      </c>
      <c r="AL136" s="5" t="s">
        <v>494</v>
      </c>
      <c r="AM136" s="5" t="s">
        <v>2707</v>
      </c>
      <c r="AN136" s="5" t="s">
        <v>2708</v>
      </c>
      <c r="AO136" s="5" t="s">
        <v>2709</v>
      </c>
      <c r="AP136" s="5" t="s">
        <v>21</v>
      </c>
      <c r="AQ136" s="5" t="s">
        <v>2710</v>
      </c>
      <c r="AR136" s="5" t="s">
        <v>2711</v>
      </c>
      <c r="AS136" s="5" t="s">
        <v>2064</v>
      </c>
      <c r="AT136" s="5">
        <v>2024</v>
      </c>
      <c r="AU136" s="5">
        <v>70</v>
      </c>
      <c r="AV136" s="5">
        <v>1</v>
      </c>
      <c r="AW136" s="5" t="s">
        <v>21</v>
      </c>
      <c r="AX136" s="5" t="s">
        <v>21</v>
      </c>
      <c r="AY136" s="5" t="s">
        <v>21</v>
      </c>
      <c r="AZ136" s="5" t="s">
        <v>21</v>
      </c>
      <c r="BA136" s="5">
        <v>110</v>
      </c>
      <c r="BB136" s="5">
        <v>126</v>
      </c>
      <c r="BC136" s="5" t="s">
        <v>21</v>
      </c>
      <c r="BD136" s="5" t="s">
        <v>2712</v>
      </c>
      <c r="BE136" s="5" t="str">
        <f>HYPERLINK("http://dx.doi.org/10.1080/20473869.2022.2063656","http://dx.doi.org/10.1080/20473869.2022.2063656")</f>
        <v>http://dx.doi.org/10.1080/20473869.2022.2063656</v>
      </c>
      <c r="BF136" s="5" t="s">
        <v>21</v>
      </c>
      <c r="BG136" s="5" t="s">
        <v>2713</v>
      </c>
      <c r="BH136" s="5">
        <v>17</v>
      </c>
      <c r="BI136" s="5" t="s">
        <v>887</v>
      </c>
      <c r="BJ136" s="5" t="s">
        <v>45</v>
      </c>
      <c r="BK136" s="5" t="s">
        <v>888</v>
      </c>
      <c r="BL136" s="5" t="s">
        <v>2714</v>
      </c>
      <c r="BM136" s="5">
        <v>38456137</v>
      </c>
      <c r="BN136" s="5" t="s">
        <v>1302</v>
      </c>
      <c r="BO136" s="5" t="s">
        <v>21</v>
      </c>
      <c r="BP136" s="5" t="s">
        <v>21</v>
      </c>
      <c r="BQ136" s="5" t="s">
        <v>49</v>
      </c>
      <c r="BR136" s="5" t="s">
        <v>2715</v>
      </c>
      <c r="BS136" s="5" t="str">
        <f>HYPERLINK("https%3A%2F%2Fwww.webofscience.com%2Fwos%2Fwoscc%2Ffull-record%2FWOS:000783403400001","View Full Record in Web of Science")</f>
        <v>View Full Record in Web of Science</v>
      </c>
    </row>
    <row r="137" spans="1:71" x14ac:dyDescent="0.25">
      <c r="A137" t="s">
        <v>19</v>
      </c>
      <c r="B137" s="5" t="s">
        <v>2716</v>
      </c>
      <c r="C137" s="5" t="s">
        <v>21</v>
      </c>
      <c r="D137" s="5" t="s">
        <v>21</v>
      </c>
      <c r="E137" s="5" t="s">
        <v>21</v>
      </c>
      <c r="F137" s="5" t="s">
        <v>2717</v>
      </c>
      <c r="G137" s="5" t="s">
        <v>21</v>
      </c>
      <c r="H137" s="5" t="s">
        <v>21</v>
      </c>
      <c r="I137" s="5" t="s">
        <v>2718</v>
      </c>
      <c r="J137" s="12" t="s">
        <v>2719</v>
      </c>
      <c r="K137" s="5" t="s">
        <v>21</v>
      </c>
      <c r="L137" s="5" t="s">
        <v>21</v>
      </c>
      <c r="M137" s="5" t="s">
        <v>25</v>
      </c>
      <c r="N137" s="5" t="s">
        <v>26</v>
      </c>
      <c r="O137" s="5" t="s">
        <v>21</v>
      </c>
      <c r="P137" s="5" t="s">
        <v>21</v>
      </c>
      <c r="Q137" s="5" t="s">
        <v>21</v>
      </c>
      <c r="R137" s="5" t="s">
        <v>21</v>
      </c>
      <c r="S137" s="5" t="s">
        <v>21</v>
      </c>
      <c r="T137" s="5" t="s">
        <v>2720</v>
      </c>
      <c r="U137" s="5" t="s">
        <v>21</v>
      </c>
      <c r="V137" s="5" t="s">
        <v>2721</v>
      </c>
      <c r="W137" s="5" t="s">
        <v>2722</v>
      </c>
      <c r="X137" s="5" t="s">
        <v>2055</v>
      </c>
      <c r="Y137" s="5" t="s">
        <v>2723</v>
      </c>
      <c r="Z137" s="5" t="s">
        <v>2057</v>
      </c>
      <c r="AA137" s="5" t="s">
        <v>2724</v>
      </c>
      <c r="AB137" s="5" t="s">
        <v>2725</v>
      </c>
      <c r="AC137" s="5" t="s">
        <v>21</v>
      </c>
      <c r="AD137" s="5" t="s">
        <v>21</v>
      </c>
      <c r="AE137" s="5" t="s">
        <v>21</v>
      </c>
      <c r="AF137" s="5">
        <v>84</v>
      </c>
      <c r="AG137" s="5">
        <v>23</v>
      </c>
      <c r="AH137" s="5">
        <v>24</v>
      </c>
      <c r="AI137" s="5">
        <v>7</v>
      </c>
      <c r="AJ137" s="5">
        <v>42</v>
      </c>
      <c r="AK137" s="5" t="s">
        <v>2726</v>
      </c>
      <c r="AL137" s="5" t="s">
        <v>2727</v>
      </c>
      <c r="AM137" s="5" t="s">
        <v>2728</v>
      </c>
      <c r="AN137" s="5" t="s">
        <v>2729</v>
      </c>
      <c r="AO137" s="5" t="s">
        <v>2730</v>
      </c>
      <c r="AP137" s="5" t="s">
        <v>21</v>
      </c>
      <c r="AQ137" s="5" t="s">
        <v>2731</v>
      </c>
      <c r="AR137" s="5" t="s">
        <v>2732</v>
      </c>
      <c r="AS137" s="5" t="s">
        <v>176</v>
      </c>
      <c r="AT137" s="5">
        <v>2021</v>
      </c>
      <c r="AU137" s="5">
        <v>128</v>
      </c>
      <c r="AV137" s="5">
        <v>3</v>
      </c>
      <c r="AW137" s="5" t="s">
        <v>21</v>
      </c>
      <c r="AX137" s="5" t="s">
        <v>21</v>
      </c>
      <c r="AY137" s="5" t="s">
        <v>21</v>
      </c>
      <c r="AZ137" s="5" t="s">
        <v>21</v>
      </c>
      <c r="BA137" s="5">
        <v>371</v>
      </c>
      <c r="BB137" s="5">
        <v>380</v>
      </c>
      <c r="BC137" s="5" t="s">
        <v>21</v>
      </c>
      <c r="BD137" s="5" t="s">
        <v>2733</v>
      </c>
      <c r="BE137" s="5" t="str">
        <f>HYPERLINK("http://dx.doi.org/10.1007/s00702-021-02321-3","http://dx.doi.org/10.1007/s00702-021-02321-3")</f>
        <v>http://dx.doi.org/10.1007/s00702-021-02321-3</v>
      </c>
      <c r="BF137" s="5" t="s">
        <v>21</v>
      </c>
      <c r="BG137" s="5" t="s">
        <v>2734</v>
      </c>
      <c r="BH137" s="5">
        <v>10</v>
      </c>
      <c r="BI137" s="5" t="s">
        <v>2735</v>
      </c>
      <c r="BJ137" s="5" t="s">
        <v>92</v>
      </c>
      <c r="BK137" s="5" t="s">
        <v>1167</v>
      </c>
      <c r="BL137" s="5" t="s">
        <v>2736</v>
      </c>
      <c r="BM137" s="5">
        <v>33677622</v>
      </c>
      <c r="BN137" s="5" t="s">
        <v>21</v>
      </c>
      <c r="BO137" s="5" t="s">
        <v>21</v>
      </c>
      <c r="BP137" s="5" t="s">
        <v>21</v>
      </c>
      <c r="BQ137" s="5" t="s">
        <v>49</v>
      </c>
      <c r="BR137" s="5" t="s">
        <v>2737</v>
      </c>
      <c r="BS137" s="5" t="str">
        <f>HYPERLINK("https%3A%2F%2Fwww.webofscience.com%2Fwos%2Fwoscc%2Ffull-record%2FWOS:000625711900002","View Full Record in Web of Science")</f>
        <v>View Full Record in Web of Science</v>
      </c>
    </row>
    <row r="138" spans="1:71" x14ac:dyDescent="0.25">
      <c r="A138" t="s">
        <v>19</v>
      </c>
      <c r="B138" s="5" t="s">
        <v>2738</v>
      </c>
      <c r="C138" s="5" t="s">
        <v>21</v>
      </c>
      <c r="D138" s="5" t="s">
        <v>21</v>
      </c>
      <c r="E138" s="5" t="s">
        <v>21</v>
      </c>
      <c r="F138" s="5" t="s">
        <v>2739</v>
      </c>
      <c r="G138" s="5" t="s">
        <v>21</v>
      </c>
      <c r="H138" s="5" t="s">
        <v>21</v>
      </c>
      <c r="I138" s="5" t="s">
        <v>2740</v>
      </c>
      <c r="J138" s="12" t="s">
        <v>1279</v>
      </c>
      <c r="K138" s="5" t="s">
        <v>21</v>
      </c>
      <c r="L138" s="5" t="s">
        <v>21</v>
      </c>
      <c r="M138" s="5" t="s">
        <v>25</v>
      </c>
      <c r="N138" s="5" t="s">
        <v>26</v>
      </c>
      <c r="O138" s="5" t="s">
        <v>21</v>
      </c>
      <c r="P138" s="5" t="s">
        <v>21</v>
      </c>
      <c r="Q138" s="5" t="s">
        <v>21</v>
      </c>
      <c r="R138" s="5" t="s">
        <v>21</v>
      </c>
      <c r="S138" s="5" t="s">
        <v>21</v>
      </c>
      <c r="T138" s="5" t="s">
        <v>2741</v>
      </c>
      <c r="U138" s="5" t="s">
        <v>2742</v>
      </c>
      <c r="V138" s="5" t="s">
        <v>2743</v>
      </c>
      <c r="W138" s="5" t="s">
        <v>2744</v>
      </c>
      <c r="X138" s="5" t="s">
        <v>2745</v>
      </c>
      <c r="Y138" s="5" t="s">
        <v>2746</v>
      </c>
      <c r="Z138" s="5" t="s">
        <v>2747</v>
      </c>
      <c r="AA138" s="5" t="s">
        <v>2748</v>
      </c>
      <c r="AB138" s="5" t="s">
        <v>2749</v>
      </c>
      <c r="AC138" s="5" t="s">
        <v>2750</v>
      </c>
      <c r="AD138" s="5" t="s">
        <v>2751</v>
      </c>
      <c r="AE138" s="5" t="s">
        <v>2752</v>
      </c>
      <c r="AF138" s="5">
        <v>59</v>
      </c>
      <c r="AG138" s="5">
        <v>23</v>
      </c>
      <c r="AH138" s="5">
        <v>24</v>
      </c>
      <c r="AI138" s="5">
        <v>4</v>
      </c>
      <c r="AJ138" s="5">
        <v>70</v>
      </c>
      <c r="AK138" s="5" t="s">
        <v>1292</v>
      </c>
      <c r="AL138" s="5" t="s">
        <v>252</v>
      </c>
      <c r="AM138" s="5" t="s">
        <v>1293</v>
      </c>
      <c r="AN138" s="5" t="s">
        <v>1294</v>
      </c>
      <c r="AO138" s="5" t="s">
        <v>1295</v>
      </c>
      <c r="AP138" s="5" t="s">
        <v>21</v>
      </c>
      <c r="AQ138" s="5" t="s">
        <v>1296</v>
      </c>
      <c r="AR138" s="5" t="s">
        <v>1297</v>
      </c>
      <c r="AS138" s="5" t="s">
        <v>334</v>
      </c>
      <c r="AT138" s="5">
        <v>2020</v>
      </c>
      <c r="AU138" s="5">
        <v>13</v>
      </c>
      <c r="AV138" s="5">
        <v>2</v>
      </c>
      <c r="AW138" s="5" t="s">
        <v>21</v>
      </c>
      <c r="AX138" s="5" t="s">
        <v>21</v>
      </c>
      <c r="AY138" s="5" t="s">
        <v>21</v>
      </c>
      <c r="AZ138" s="5" t="s">
        <v>21</v>
      </c>
      <c r="BA138" s="5">
        <v>307</v>
      </c>
      <c r="BB138" s="5">
        <v>319</v>
      </c>
      <c r="BC138" s="5" t="s">
        <v>21</v>
      </c>
      <c r="BD138" s="5" t="s">
        <v>2753</v>
      </c>
      <c r="BE138" s="5" t="str">
        <f>HYPERLINK("http://dx.doi.org/10.1002/aur.2208","http://dx.doi.org/10.1002/aur.2208")</f>
        <v>http://dx.doi.org/10.1002/aur.2208</v>
      </c>
      <c r="BF138" s="5" t="s">
        <v>21</v>
      </c>
      <c r="BG138" s="5" t="s">
        <v>1025</v>
      </c>
      <c r="BH138" s="5">
        <v>13</v>
      </c>
      <c r="BI138" s="5" t="s">
        <v>1299</v>
      </c>
      <c r="BJ138" s="5" t="s">
        <v>92</v>
      </c>
      <c r="BK138" s="5" t="s">
        <v>1300</v>
      </c>
      <c r="BL138" s="5" t="s">
        <v>2754</v>
      </c>
      <c r="BM138" s="5">
        <v>31566888</v>
      </c>
      <c r="BN138" s="5" t="s">
        <v>2205</v>
      </c>
      <c r="BO138" s="5" t="s">
        <v>21</v>
      </c>
      <c r="BP138" s="5" t="s">
        <v>21</v>
      </c>
      <c r="BQ138" s="5" t="s">
        <v>49</v>
      </c>
      <c r="BR138" s="5" t="s">
        <v>2755</v>
      </c>
      <c r="BS138" s="5" t="str">
        <f>HYPERLINK("https%3A%2F%2Fwww.webofscience.com%2Fwos%2Fwoscc%2Ffull-record%2FWOS:000488519800001","View Full Record in Web of Science")</f>
        <v>View Full Record in Web of Science</v>
      </c>
    </row>
    <row r="139" spans="1:71" x14ac:dyDescent="0.25">
      <c r="A139" t="s">
        <v>19</v>
      </c>
      <c r="B139" s="5" t="s">
        <v>2756</v>
      </c>
      <c r="C139" s="5" t="s">
        <v>21</v>
      </c>
      <c r="D139" s="5" t="s">
        <v>21</v>
      </c>
      <c r="E139" s="5" t="s">
        <v>21</v>
      </c>
      <c r="F139" s="5" t="s">
        <v>2757</v>
      </c>
      <c r="G139" s="5" t="s">
        <v>21</v>
      </c>
      <c r="H139" s="5" t="s">
        <v>21</v>
      </c>
      <c r="I139" s="5" t="s">
        <v>2758</v>
      </c>
      <c r="J139" s="12" t="s">
        <v>2759</v>
      </c>
      <c r="K139" s="5" t="s">
        <v>21</v>
      </c>
      <c r="L139" s="5" t="s">
        <v>21</v>
      </c>
      <c r="M139" s="5" t="s">
        <v>2760</v>
      </c>
      <c r="N139" s="5" t="s">
        <v>76</v>
      </c>
      <c r="O139" s="5" t="s">
        <v>21</v>
      </c>
      <c r="P139" s="5" t="s">
        <v>21</v>
      </c>
      <c r="Q139" s="5" t="s">
        <v>21</v>
      </c>
      <c r="R139" s="5" t="s">
        <v>21</v>
      </c>
      <c r="S139" s="5" t="s">
        <v>21</v>
      </c>
      <c r="T139" s="5" t="s">
        <v>2761</v>
      </c>
      <c r="U139" s="5" t="s">
        <v>2762</v>
      </c>
      <c r="V139" s="5" t="s">
        <v>2763</v>
      </c>
      <c r="W139" s="5" t="s">
        <v>2764</v>
      </c>
      <c r="X139" s="5" t="s">
        <v>2765</v>
      </c>
      <c r="Y139" s="5" t="s">
        <v>2766</v>
      </c>
      <c r="Z139" s="5" t="s">
        <v>2767</v>
      </c>
      <c r="AA139" s="5" t="s">
        <v>2768</v>
      </c>
      <c r="AB139" s="5" t="s">
        <v>2769</v>
      </c>
      <c r="AC139" s="5" t="s">
        <v>21</v>
      </c>
      <c r="AD139" s="5" t="s">
        <v>21</v>
      </c>
      <c r="AE139" s="5" t="s">
        <v>21</v>
      </c>
      <c r="AF139" s="5">
        <v>39</v>
      </c>
      <c r="AG139" s="5">
        <v>23</v>
      </c>
      <c r="AH139" s="5">
        <v>26</v>
      </c>
      <c r="AI139" s="5">
        <v>8</v>
      </c>
      <c r="AJ139" s="5">
        <v>104</v>
      </c>
      <c r="AK139" s="5" t="s">
        <v>2770</v>
      </c>
      <c r="AL139" s="5" t="s">
        <v>2771</v>
      </c>
      <c r="AM139" s="5" t="s">
        <v>2772</v>
      </c>
      <c r="AN139" s="5" t="s">
        <v>2773</v>
      </c>
      <c r="AO139" s="5" t="s">
        <v>21</v>
      </c>
      <c r="AP139" s="5" t="s">
        <v>21</v>
      </c>
      <c r="AQ139" s="5" t="s">
        <v>2774</v>
      </c>
      <c r="AR139" s="5" t="s">
        <v>2775</v>
      </c>
      <c r="AS139" s="5" t="s">
        <v>89</v>
      </c>
      <c r="AT139" s="5">
        <v>2018</v>
      </c>
      <c r="AU139" s="5">
        <v>44</v>
      </c>
      <c r="AV139" s="5">
        <v>3</v>
      </c>
      <c r="AW139" s="5" t="s">
        <v>21</v>
      </c>
      <c r="AX139" s="5" t="s">
        <v>21</v>
      </c>
      <c r="AY139" s="5" t="s">
        <v>21</v>
      </c>
      <c r="AZ139" s="5" t="s">
        <v>21</v>
      </c>
      <c r="BA139" s="5">
        <v>280</v>
      </c>
      <c r="BB139" s="5">
        <v>285</v>
      </c>
      <c r="BC139" s="5" t="s">
        <v>21</v>
      </c>
      <c r="BD139" s="5" t="s">
        <v>2776</v>
      </c>
      <c r="BE139" s="5" t="str">
        <f>HYPERLINK("http://dx.doi.org/10.1016/j.encep.2017.06.005","http://dx.doi.org/10.1016/j.encep.2017.06.005")</f>
        <v>http://dx.doi.org/10.1016/j.encep.2017.06.005</v>
      </c>
      <c r="BF139" s="5" t="s">
        <v>21</v>
      </c>
      <c r="BG139" s="5" t="s">
        <v>21</v>
      </c>
      <c r="BH139" s="5">
        <v>6</v>
      </c>
      <c r="BI139" s="5" t="s">
        <v>2777</v>
      </c>
      <c r="BJ139" s="5" t="s">
        <v>92</v>
      </c>
      <c r="BK139" s="5" t="s">
        <v>1526</v>
      </c>
      <c r="BL139" s="5" t="s">
        <v>2778</v>
      </c>
      <c r="BM139" s="5">
        <v>28870688</v>
      </c>
      <c r="BN139" s="5" t="s">
        <v>21</v>
      </c>
      <c r="BO139" s="5" t="s">
        <v>21</v>
      </c>
      <c r="BP139" s="5" t="s">
        <v>21</v>
      </c>
      <c r="BQ139" s="5" t="s">
        <v>49</v>
      </c>
      <c r="BR139" s="5" t="s">
        <v>2779</v>
      </c>
      <c r="BS139" s="5" t="str">
        <f>HYPERLINK("https%3A%2F%2Fwww.webofscience.com%2Fwos%2Fwoscc%2Ffull-record%2FWOS:000437768000013","View Full Record in Web of Science")</f>
        <v>View Full Record in Web of Science</v>
      </c>
    </row>
    <row r="140" spans="1:71" x14ac:dyDescent="0.25">
      <c r="A140" t="s">
        <v>19</v>
      </c>
      <c r="B140" s="5" t="s">
        <v>2780</v>
      </c>
      <c r="C140" s="5" t="s">
        <v>21</v>
      </c>
      <c r="D140" s="5" t="s">
        <v>21</v>
      </c>
      <c r="E140" s="5" t="s">
        <v>21</v>
      </c>
      <c r="F140" s="5" t="s">
        <v>2781</v>
      </c>
      <c r="G140" s="5" t="s">
        <v>21</v>
      </c>
      <c r="H140" s="5" t="s">
        <v>21</v>
      </c>
      <c r="I140" s="5" t="s">
        <v>2782</v>
      </c>
      <c r="J140" s="12" t="s">
        <v>414</v>
      </c>
      <c r="K140" s="5" t="s">
        <v>21</v>
      </c>
      <c r="L140" s="5" t="s">
        <v>21</v>
      </c>
      <c r="M140" s="5" t="s">
        <v>25</v>
      </c>
      <c r="N140" s="5" t="s">
        <v>26</v>
      </c>
      <c r="O140" s="5" t="s">
        <v>21</v>
      </c>
      <c r="P140" s="5" t="s">
        <v>21</v>
      </c>
      <c r="Q140" s="5" t="s">
        <v>21</v>
      </c>
      <c r="R140" s="5" t="s">
        <v>21</v>
      </c>
      <c r="S140" s="5" t="s">
        <v>21</v>
      </c>
      <c r="T140" s="5" t="s">
        <v>2783</v>
      </c>
      <c r="U140" s="5" t="s">
        <v>2784</v>
      </c>
      <c r="V140" s="5" t="s">
        <v>2785</v>
      </c>
      <c r="W140" s="5" t="s">
        <v>2786</v>
      </c>
      <c r="X140" s="5" t="s">
        <v>2787</v>
      </c>
      <c r="Y140" s="5" t="s">
        <v>2788</v>
      </c>
      <c r="Z140" s="5" t="s">
        <v>2789</v>
      </c>
      <c r="AA140" s="5" t="s">
        <v>2790</v>
      </c>
      <c r="AB140" s="5" t="s">
        <v>2791</v>
      </c>
      <c r="AC140" s="5" t="s">
        <v>21</v>
      </c>
      <c r="AD140" s="5" t="s">
        <v>21</v>
      </c>
      <c r="AE140" s="5" t="s">
        <v>21</v>
      </c>
      <c r="AF140" s="5">
        <v>46</v>
      </c>
      <c r="AG140" s="5">
        <v>23</v>
      </c>
      <c r="AH140" s="5">
        <v>24</v>
      </c>
      <c r="AI140" s="5">
        <v>1</v>
      </c>
      <c r="AJ140" s="5">
        <v>39</v>
      </c>
      <c r="AK140" s="5" t="s">
        <v>424</v>
      </c>
      <c r="AL140" s="5" t="s">
        <v>84</v>
      </c>
      <c r="AM140" s="5" t="s">
        <v>2219</v>
      </c>
      <c r="AN140" s="5" t="s">
        <v>427</v>
      </c>
      <c r="AO140" s="5" t="s">
        <v>428</v>
      </c>
      <c r="AP140" s="5" t="s">
        <v>21</v>
      </c>
      <c r="AQ140" s="5" t="s">
        <v>429</v>
      </c>
      <c r="AR140" s="5" t="s">
        <v>430</v>
      </c>
      <c r="AS140" s="5" t="s">
        <v>199</v>
      </c>
      <c r="AT140" s="5">
        <v>2013</v>
      </c>
      <c r="AU140" s="5">
        <v>7</v>
      </c>
      <c r="AV140" s="5">
        <v>8</v>
      </c>
      <c r="AW140" s="5" t="s">
        <v>21</v>
      </c>
      <c r="AX140" s="5" t="s">
        <v>21</v>
      </c>
      <c r="AY140" s="5" t="s">
        <v>21</v>
      </c>
      <c r="AZ140" s="5" t="s">
        <v>21</v>
      </c>
      <c r="BA140" s="5">
        <v>956</v>
      </c>
      <c r="BB140" s="5">
        <v>965</v>
      </c>
      <c r="BC140" s="5" t="s">
        <v>21</v>
      </c>
      <c r="BD140" s="5" t="s">
        <v>2792</v>
      </c>
      <c r="BE140" s="5" t="str">
        <f>HYPERLINK("http://dx.doi.org/10.1016/j.rasd.2013.04.007","http://dx.doi.org/10.1016/j.rasd.2013.04.007")</f>
        <v>http://dx.doi.org/10.1016/j.rasd.2013.04.007</v>
      </c>
      <c r="BF140" s="5" t="s">
        <v>21</v>
      </c>
      <c r="BG140" s="5" t="s">
        <v>21</v>
      </c>
      <c r="BH140" s="5">
        <v>10</v>
      </c>
      <c r="BI140" s="5" t="s">
        <v>433</v>
      </c>
      <c r="BJ140" s="5" t="s">
        <v>45</v>
      </c>
      <c r="BK140" s="5" t="s">
        <v>434</v>
      </c>
      <c r="BL140" s="5" t="s">
        <v>2793</v>
      </c>
      <c r="BM140" s="5" t="s">
        <v>21</v>
      </c>
      <c r="BN140" s="5" t="s">
        <v>21</v>
      </c>
      <c r="BO140" s="5" t="s">
        <v>21</v>
      </c>
      <c r="BP140" s="5" t="s">
        <v>21</v>
      </c>
      <c r="BQ140" s="5" t="s">
        <v>49</v>
      </c>
      <c r="BR140" s="5" t="s">
        <v>2794</v>
      </c>
      <c r="BS140" s="5" t="str">
        <f>HYPERLINK("https%3A%2F%2Fwww.webofscience.com%2Fwos%2Fwoscc%2Ffull-record%2FWOS:000320836000005","View Full Record in Web of Science")</f>
        <v>View Full Record in Web of Science</v>
      </c>
    </row>
    <row r="141" spans="1:71" x14ac:dyDescent="0.25">
      <c r="A141" t="s">
        <v>19</v>
      </c>
      <c r="B141" s="5" t="s">
        <v>2795</v>
      </c>
      <c r="C141" s="5" t="s">
        <v>21</v>
      </c>
      <c r="D141" s="5" t="s">
        <v>21</v>
      </c>
      <c r="E141" s="5" t="s">
        <v>21</v>
      </c>
      <c r="F141" s="5" t="s">
        <v>2796</v>
      </c>
      <c r="G141" s="5" t="s">
        <v>21</v>
      </c>
      <c r="H141" s="5" t="s">
        <v>21</v>
      </c>
      <c r="I141" s="5" t="s">
        <v>2797</v>
      </c>
      <c r="J141" s="12" t="s">
        <v>2798</v>
      </c>
      <c r="K141" s="5" t="s">
        <v>21</v>
      </c>
      <c r="L141" s="5" t="s">
        <v>21</v>
      </c>
      <c r="M141" s="5" t="s">
        <v>25</v>
      </c>
      <c r="N141" s="5" t="s">
        <v>26</v>
      </c>
      <c r="O141" s="5" t="s">
        <v>21</v>
      </c>
      <c r="P141" s="5" t="s">
        <v>21</v>
      </c>
      <c r="Q141" s="5" t="s">
        <v>21</v>
      </c>
      <c r="R141" s="5" t="s">
        <v>21</v>
      </c>
      <c r="S141" s="5" t="s">
        <v>21</v>
      </c>
      <c r="T141" s="5" t="s">
        <v>2799</v>
      </c>
      <c r="U141" s="5" t="s">
        <v>2800</v>
      </c>
      <c r="V141" s="5" t="s">
        <v>2801</v>
      </c>
      <c r="W141" s="5" t="s">
        <v>2802</v>
      </c>
      <c r="X141" s="5" t="s">
        <v>2015</v>
      </c>
      <c r="Y141" s="5" t="s">
        <v>2803</v>
      </c>
      <c r="Z141" s="5" t="s">
        <v>2017</v>
      </c>
      <c r="AA141" s="5" t="s">
        <v>1451</v>
      </c>
      <c r="AB141" s="5" t="s">
        <v>2804</v>
      </c>
      <c r="AC141" s="5" t="s">
        <v>21</v>
      </c>
      <c r="AD141" s="5" t="s">
        <v>21</v>
      </c>
      <c r="AE141" s="5" t="s">
        <v>21</v>
      </c>
      <c r="AF141" s="5">
        <v>81</v>
      </c>
      <c r="AG141" s="5">
        <v>22</v>
      </c>
      <c r="AH141" s="5">
        <v>22</v>
      </c>
      <c r="AI141" s="5">
        <v>2</v>
      </c>
      <c r="AJ141" s="5">
        <v>11</v>
      </c>
      <c r="AK141" s="5" t="s">
        <v>153</v>
      </c>
      <c r="AL141" s="5" t="s">
        <v>154</v>
      </c>
      <c r="AM141" s="5" t="s">
        <v>155</v>
      </c>
      <c r="AN141" s="5" t="s">
        <v>21</v>
      </c>
      <c r="AO141" s="5" t="s">
        <v>2805</v>
      </c>
      <c r="AP141" s="5" t="s">
        <v>21</v>
      </c>
      <c r="AQ141" s="5" t="s">
        <v>2806</v>
      </c>
      <c r="AR141" s="5" t="s">
        <v>2807</v>
      </c>
      <c r="AS141" s="5" t="s">
        <v>2808</v>
      </c>
      <c r="AT141" s="5">
        <v>2021</v>
      </c>
      <c r="AU141" s="5">
        <v>2</v>
      </c>
      <c r="AV141" s="5" t="s">
        <v>21</v>
      </c>
      <c r="AW141" s="5" t="s">
        <v>21</v>
      </c>
      <c r="AX141" s="5" t="s">
        <v>21</v>
      </c>
      <c r="AY141" s="5" t="s">
        <v>21</v>
      </c>
      <c r="AZ141" s="5" t="s">
        <v>21</v>
      </c>
      <c r="BA141" s="5" t="s">
        <v>21</v>
      </c>
      <c r="BB141" s="5" t="s">
        <v>21</v>
      </c>
      <c r="BC141" s="5">
        <v>611740</v>
      </c>
      <c r="BD141" s="5" t="s">
        <v>2809</v>
      </c>
      <c r="BE141" s="5" t="str">
        <f>HYPERLINK("http://dx.doi.org/10.3389/frvir.2021.611740","http://dx.doi.org/10.3389/frvir.2021.611740")</f>
        <v>http://dx.doi.org/10.3389/frvir.2021.611740</v>
      </c>
      <c r="BF141" s="5" t="s">
        <v>21</v>
      </c>
      <c r="BG141" s="5" t="s">
        <v>21</v>
      </c>
      <c r="BH141" s="5">
        <v>13</v>
      </c>
      <c r="BI141" s="5" t="s">
        <v>784</v>
      </c>
      <c r="BJ141" s="5" t="s">
        <v>1907</v>
      </c>
      <c r="BK141" s="5" t="s">
        <v>715</v>
      </c>
      <c r="BL141" s="5" t="s">
        <v>2810</v>
      </c>
      <c r="BM141" s="5" t="s">
        <v>21</v>
      </c>
      <c r="BN141" s="5" t="s">
        <v>1909</v>
      </c>
      <c r="BO141" s="5" t="s">
        <v>21</v>
      </c>
      <c r="BP141" s="5" t="s">
        <v>21</v>
      </c>
      <c r="BQ141" s="5" t="s">
        <v>49</v>
      </c>
      <c r="BR141" s="5" t="s">
        <v>2811</v>
      </c>
      <c r="BS141" s="5" t="str">
        <f>HYPERLINK("https%3A%2F%2Fwww.webofscience.com%2Fwos%2Fwoscc%2Ffull-record%2FWOS:001021743800001","View Full Record in Web of Science")</f>
        <v>View Full Record in Web of Science</v>
      </c>
    </row>
    <row r="142" spans="1:71" x14ac:dyDescent="0.25">
      <c r="A142" t="s">
        <v>19</v>
      </c>
      <c r="B142" s="5" t="s">
        <v>2812</v>
      </c>
      <c r="C142" s="5" t="s">
        <v>21</v>
      </c>
      <c r="D142" s="5" t="s">
        <v>21</v>
      </c>
      <c r="E142" s="5" t="s">
        <v>21</v>
      </c>
      <c r="F142" s="5" t="s">
        <v>2813</v>
      </c>
      <c r="G142" s="5" t="s">
        <v>21</v>
      </c>
      <c r="H142" s="5" t="s">
        <v>21</v>
      </c>
      <c r="I142" s="5" t="s">
        <v>2814</v>
      </c>
      <c r="J142" s="12" t="s">
        <v>2815</v>
      </c>
      <c r="K142" s="5" t="s">
        <v>21</v>
      </c>
      <c r="L142" s="5" t="s">
        <v>21</v>
      </c>
      <c r="M142" s="5" t="s">
        <v>25</v>
      </c>
      <c r="N142" s="5" t="s">
        <v>26</v>
      </c>
      <c r="O142" s="5" t="s">
        <v>21</v>
      </c>
      <c r="P142" s="5" t="s">
        <v>21</v>
      </c>
      <c r="Q142" s="5" t="s">
        <v>21</v>
      </c>
      <c r="R142" s="5" t="s">
        <v>21</v>
      </c>
      <c r="S142" s="5" t="s">
        <v>21</v>
      </c>
      <c r="T142" s="5" t="s">
        <v>2816</v>
      </c>
      <c r="U142" s="5" t="s">
        <v>2817</v>
      </c>
      <c r="V142" s="5" t="s">
        <v>2818</v>
      </c>
      <c r="W142" s="5" t="s">
        <v>2819</v>
      </c>
      <c r="X142" s="5" t="s">
        <v>2820</v>
      </c>
      <c r="Y142" s="5" t="s">
        <v>2821</v>
      </c>
      <c r="Z142" s="5" t="s">
        <v>2135</v>
      </c>
      <c r="AA142" s="5" t="s">
        <v>2136</v>
      </c>
      <c r="AB142" s="5" t="s">
        <v>2822</v>
      </c>
      <c r="AC142" s="5" t="s">
        <v>21</v>
      </c>
      <c r="AD142" s="5" t="s">
        <v>21</v>
      </c>
      <c r="AE142" s="5" t="s">
        <v>21</v>
      </c>
      <c r="AF142" s="5">
        <v>77</v>
      </c>
      <c r="AG142" s="5">
        <v>22</v>
      </c>
      <c r="AH142" s="5">
        <v>22</v>
      </c>
      <c r="AI142" s="5">
        <v>13</v>
      </c>
      <c r="AJ142" s="5">
        <v>108</v>
      </c>
      <c r="AK142" s="5" t="s">
        <v>2823</v>
      </c>
      <c r="AL142" s="5" t="s">
        <v>2824</v>
      </c>
      <c r="AM142" s="5" t="s">
        <v>2825</v>
      </c>
      <c r="AN142" s="5" t="s">
        <v>2826</v>
      </c>
      <c r="AO142" s="5" t="s">
        <v>2827</v>
      </c>
      <c r="AP142" s="5" t="s">
        <v>21</v>
      </c>
      <c r="AQ142" s="5" t="s">
        <v>2828</v>
      </c>
      <c r="AR142" s="5" t="s">
        <v>2829</v>
      </c>
      <c r="AS142" s="5" t="s">
        <v>21</v>
      </c>
      <c r="AT142" s="5">
        <v>2021</v>
      </c>
      <c r="AU142" s="5">
        <v>29</v>
      </c>
      <c r="AV142" s="5" t="s">
        <v>21</v>
      </c>
      <c r="AW142" s="5" t="s">
        <v>21</v>
      </c>
      <c r="AX142" s="5" t="s">
        <v>21</v>
      </c>
      <c r="AY142" s="5" t="s">
        <v>21</v>
      </c>
      <c r="AZ142" s="5" t="s">
        <v>21</v>
      </c>
      <c r="BA142" s="5" t="s">
        <v>21</v>
      </c>
      <c r="BB142" s="5" t="s">
        <v>21</v>
      </c>
      <c r="BC142" s="5">
        <v>2626</v>
      </c>
      <c r="BD142" s="5" t="s">
        <v>2830</v>
      </c>
      <c r="BE142" s="5" t="str">
        <f>HYPERLINK("http://dx.doi.org/10.25304/rlt.v29.2626","http://dx.doi.org/10.25304/rlt.v29.2626")</f>
        <v>http://dx.doi.org/10.25304/rlt.v29.2626</v>
      </c>
      <c r="BF142" s="5" t="s">
        <v>21</v>
      </c>
      <c r="BG142" s="5" t="s">
        <v>21</v>
      </c>
      <c r="BH142" s="5">
        <v>22</v>
      </c>
      <c r="BI142" s="5" t="s">
        <v>503</v>
      </c>
      <c r="BJ142" s="5" t="s">
        <v>1907</v>
      </c>
      <c r="BK142" s="5" t="s">
        <v>503</v>
      </c>
      <c r="BL142" s="5" t="s">
        <v>2831</v>
      </c>
      <c r="BM142" s="5" t="s">
        <v>21</v>
      </c>
      <c r="BN142" s="5" t="s">
        <v>1909</v>
      </c>
      <c r="BO142" s="5" t="s">
        <v>21</v>
      </c>
      <c r="BP142" s="5" t="s">
        <v>21</v>
      </c>
      <c r="BQ142" s="5" t="s">
        <v>49</v>
      </c>
      <c r="BR142" s="5" t="s">
        <v>2832</v>
      </c>
      <c r="BS142" s="5" t="str">
        <f>HYPERLINK("https%3A%2F%2Fwww.webofscience.com%2Fwos%2Fwoscc%2Ffull-record%2FWOS:000683287300001","View Full Record in Web of Science")</f>
        <v>View Full Record in Web of Science</v>
      </c>
    </row>
    <row r="143" spans="1:71" x14ac:dyDescent="0.25">
      <c r="A143" t="s">
        <v>19</v>
      </c>
      <c r="B143" s="5" t="s">
        <v>2833</v>
      </c>
      <c r="C143" s="5" t="s">
        <v>21</v>
      </c>
      <c r="D143" s="5" t="s">
        <v>21</v>
      </c>
      <c r="E143" s="5" t="s">
        <v>21</v>
      </c>
      <c r="F143" s="5" t="s">
        <v>2834</v>
      </c>
      <c r="G143" s="5" t="s">
        <v>21</v>
      </c>
      <c r="H143" s="5" t="s">
        <v>21</v>
      </c>
      <c r="I143" s="5" t="s">
        <v>2835</v>
      </c>
      <c r="J143" s="12" t="s">
        <v>1443</v>
      </c>
      <c r="K143" s="5" t="s">
        <v>21</v>
      </c>
      <c r="L143" s="5" t="s">
        <v>21</v>
      </c>
      <c r="M143" s="5" t="s">
        <v>25</v>
      </c>
      <c r="N143" s="5" t="s">
        <v>2836</v>
      </c>
      <c r="O143" s="5" t="s">
        <v>21</v>
      </c>
      <c r="P143" s="5" t="s">
        <v>21</v>
      </c>
      <c r="Q143" s="5" t="s">
        <v>21</v>
      </c>
      <c r="R143" s="5" t="s">
        <v>21</v>
      </c>
      <c r="S143" s="5" t="s">
        <v>21</v>
      </c>
      <c r="T143" s="5" t="s">
        <v>2837</v>
      </c>
      <c r="U143" s="5" t="s">
        <v>2838</v>
      </c>
      <c r="V143" s="5" t="s">
        <v>2839</v>
      </c>
      <c r="W143" s="5" t="s">
        <v>2840</v>
      </c>
      <c r="X143" s="5" t="s">
        <v>488</v>
      </c>
      <c r="Y143" s="5" t="s">
        <v>2841</v>
      </c>
      <c r="Z143" s="5" t="s">
        <v>2628</v>
      </c>
      <c r="AA143" s="5" t="s">
        <v>1983</v>
      </c>
      <c r="AB143" s="5" t="s">
        <v>1984</v>
      </c>
      <c r="AC143" s="5" t="s">
        <v>2842</v>
      </c>
      <c r="AD143" s="5" t="s">
        <v>1985</v>
      </c>
      <c r="AE143" s="5" t="s">
        <v>2843</v>
      </c>
      <c r="AF143" s="5">
        <v>31</v>
      </c>
      <c r="AG143" s="5">
        <v>22</v>
      </c>
      <c r="AH143" s="5">
        <v>24</v>
      </c>
      <c r="AI143" s="5">
        <v>8</v>
      </c>
      <c r="AJ143" s="5">
        <v>74</v>
      </c>
      <c r="AK143" s="5" t="s">
        <v>493</v>
      </c>
      <c r="AL143" s="5" t="s">
        <v>494</v>
      </c>
      <c r="AM143" s="5" t="s">
        <v>495</v>
      </c>
      <c r="AN143" s="5" t="s">
        <v>1453</v>
      </c>
      <c r="AO143" s="5" t="s">
        <v>1454</v>
      </c>
      <c r="AP143" s="5" t="s">
        <v>21</v>
      </c>
      <c r="AQ143" s="5" t="s">
        <v>1455</v>
      </c>
      <c r="AR143" s="5" t="s">
        <v>1456</v>
      </c>
      <c r="AS143" s="5" t="s">
        <v>2844</v>
      </c>
      <c r="AT143" s="5">
        <v>2019</v>
      </c>
      <c r="AU143" s="5" t="s">
        <v>21</v>
      </c>
      <c r="AV143" s="5" t="s">
        <v>21</v>
      </c>
      <c r="AW143" s="5" t="s">
        <v>21</v>
      </c>
      <c r="AX143" s="5" t="s">
        <v>21</v>
      </c>
      <c r="AY143" s="5" t="s">
        <v>21</v>
      </c>
      <c r="AZ143" s="5" t="s">
        <v>21</v>
      </c>
      <c r="BA143" s="5" t="s">
        <v>21</v>
      </c>
      <c r="BB143" s="5" t="s">
        <v>21</v>
      </c>
      <c r="BC143" s="5" t="s">
        <v>21</v>
      </c>
      <c r="BD143" s="5" t="s">
        <v>2845</v>
      </c>
      <c r="BE143" s="5" t="str">
        <f>HYPERLINK("http://dx.doi.org/10.1080/10494820.2019.1613665","http://dx.doi.org/10.1080/10494820.2019.1613665")</f>
        <v>http://dx.doi.org/10.1080/10494820.2019.1613665</v>
      </c>
      <c r="BF143" s="5" t="s">
        <v>21</v>
      </c>
      <c r="BG143" s="5" t="s">
        <v>2066</v>
      </c>
      <c r="BH143" s="5">
        <v>15</v>
      </c>
      <c r="BI143" s="5" t="s">
        <v>503</v>
      </c>
      <c r="BJ143" s="5" t="s">
        <v>45</v>
      </c>
      <c r="BK143" s="5" t="s">
        <v>503</v>
      </c>
      <c r="BL143" s="5" t="s">
        <v>2846</v>
      </c>
      <c r="BM143" s="5" t="s">
        <v>21</v>
      </c>
      <c r="BN143" s="5" t="s">
        <v>21</v>
      </c>
      <c r="BO143" s="5" t="s">
        <v>21</v>
      </c>
      <c r="BP143" s="5" t="s">
        <v>21</v>
      </c>
      <c r="BQ143" s="5" t="s">
        <v>49</v>
      </c>
      <c r="BR143" s="5" t="s">
        <v>2847</v>
      </c>
      <c r="BS143" s="5" t="str">
        <f>HYPERLINK("https%3A%2F%2Fwww.webofscience.com%2Fwos%2Fwoscc%2Ffull-record%2FWOS:000471474700001","View Full Record in Web of Science")</f>
        <v>View Full Record in Web of Science</v>
      </c>
    </row>
    <row r="144" spans="1:71" x14ac:dyDescent="0.25">
      <c r="A144" t="s">
        <v>19</v>
      </c>
      <c r="B144" s="5" t="s">
        <v>2848</v>
      </c>
      <c r="C144" s="5" t="s">
        <v>21</v>
      </c>
      <c r="D144" s="5" t="s">
        <v>21</v>
      </c>
      <c r="E144" s="5" t="s">
        <v>21</v>
      </c>
      <c r="F144" s="5" t="s">
        <v>2849</v>
      </c>
      <c r="G144" s="5" t="s">
        <v>21</v>
      </c>
      <c r="H144" s="5" t="s">
        <v>21</v>
      </c>
      <c r="I144" s="5" t="s">
        <v>2850</v>
      </c>
      <c r="J144" s="12" t="s">
        <v>414</v>
      </c>
      <c r="K144" s="5" t="s">
        <v>21</v>
      </c>
      <c r="L144" s="5" t="s">
        <v>21</v>
      </c>
      <c r="M144" s="5" t="s">
        <v>25</v>
      </c>
      <c r="N144" s="5" t="s">
        <v>26</v>
      </c>
      <c r="O144" s="5" t="s">
        <v>21</v>
      </c>
      <c r="P144" s="5" t="s">
        <v>21</v>
      </c>
      <c r="Q144" s="5" t="s">
        <v>21</v>
      </c>
      <c r="R144" s="5" t="s">
        <v>21</v>
      </c>
      <c r="S144" s="5" t="s">
        <v>21</v>
      </c>
      <c r="T144" s="5" t="s">
        <v>2851</v>
      </c>
      <c r="U144" s="5" t="s">
        <v>2852</v>
      </c>
      <c r="V144" s="5" t="s">
        <v>2853</v>
      </c>
      <c r="W144" s="5" t="s">
        <v>2854</v>
      </c>
      <c r="X144" s="5" t="s">
        <v>554</v>
      </c>
      <c r="Y144" s="5" t="s">
        <v>2855</v>
      </c>
      <c r="Z144" s="5" t="s">
        <v>1068</v>
      </c>
      <c r="AA144" s="5" t="s">
        <v>21</v>
      </c>
      <c r="AB144" s="5" t="s">
        <v>2856</v>
      </c>
      <c r="AC144" s="5" t="s">
        <v>2857</v>
      </c>
      <c r="AD144" s="5" t="s">
        <v>2857</v>
      </c>
      <c r="AE144" s="5" t="s">
        <v>2858</v>
      </c>
      <c r="AF144" s="5">
        <v>24</v>
      </c>
      <c r="AG144" s="5">
        <v>22</v>
      </c>
      <c r="AH144" s="5">
        <v>25</v>
      </c>
      <c r="AI144" s="5">
        <v>3</v>
      </c>
      <c r="AJ144" s="5">
        <v>64</v>
      </c>
      <c r="AK144" s="5" t="s">
        <v>424</v>
      </c>
      <c r="AL144" s="5" t="s">
        <v>84</v>
      </c>
      <c r="AM144" s="5" t="s">
        <v>2219</v>
      </c>
      <c r="AN144" s="5" t="s">
        <v>427</v>
      </c>
      <c r="AO144" s="5" t="s">
        <v>428</v>
      </c>
      <c r="AP144" s="5" t="s">
        <v>21</v>
      </c>
      <c r="AQ144" s="5" t="s">
        <v>429</v>
      </c>
      <c r="AR144" s="5" t="s">
        <v>430</v>
      </c>
      <c r="AS144" s="5" t="s">
        <v>176</v>
      </c>
      <c r="AT144" s="5">
        <v>2019</v>
      </c>
      <c r="AU144" s="5">
        <v>59</v>
      </c>
      <c r="AV144" s="5" t="s">
        <v>21</v>
      </c>
      <c r="AW144" s="5" t="s">
        <v>21</v>
      </c>
      <c r="AX144" s="5" t="s">
        <v>21</v>
      </c>
      <c r="AY144" s="5" t="s">
        <v>21</v>
      </c>
      <c r="AZ144" s="5" t="s">
        <v>21</v>
      </c>
      <c r="BA144" s="5">
        <v>58</v>
      </c>
      <c r="BB144" s="5">
        <v>67</v>
      </c>
      <c r="BC144" s="5" t="s">
        <v>21</v>
      </c>
      <c r="BD144" s="5" t="s">
        <v>2859</v>
      </c>
      <c r="BE144" s="5" t="str">
        <f>HYPERLINK("http://dx.doi.org/10.1016/j.rasd.2018.11.005","http://dx.doi.org/10.1016/j.rasd.2018.11.005")</f>
        <v>http://dx.doi.org/10.1016/j.rasd.2018.11.005</v>
      </c>
      <c r="BF144" s="5" t="s">
        <v>21</v>
      </c>
      <c r="BG144" s="5" t="s">
        <v>21</v>
      </c>
      <c r="BH144" s="5">
        <v>10</v>
      </c>
      <c r="BI144" s="5" t="s">
        <v>433</v>
      </c>
      <c r="BJ144" s="5" t="s">
        <v>45</v>
      </c>
      <c r="BK144" s="5" t="s">
        <v>434</v>
      </c>
      <c r="BL144" s="5" t="s">
        <v>2860</v>
      </c>
      <c r="BM144" s="5" t="s">
        <v>21</v>
      </c>
      <c r="BN144" s="5" t="s">
        <v>21</v>
      </c>
      <c r="BO144" s="5" t="s">
        <v>21</v>
      </c>
      <c r="BP144" s="5" t="s">
        <v>21</v>
      </c>
      <c r="BQ144" s="5" t="s">
        <v>49</v>
      </c>
      <c r="BR144" s="5" t="s">
        <v>2861</v>
      </c>
      <c r="BS144" s="5" t="str">
        <f>HYPERLINK("https%3A%2F%2Fwww.webofscience.com%2Fwos%2Fwoscc%2Ffull-record%2FWOS:000461726300006","View Full Record in Web of Science")</f>
        <v>View Full Record in Web of Science</v>
      </c>
    </row>
    <row r="145" spans="1:71" x14ac:dyDescent="0.25">
      <c r="A145" t="s">
        <v>19</v>
      </c>
      <c r="B145" s="5" t="s">
        <v>2862</v>
      </c>
      <c r="C145" s="5" t="s">
        <v>21</v>
      </c>
      <c r="D145" s="5" t="s">
        <v>21</v>
      </c>
      <c r="E145" s="5" t="s">
        <v>21</v>
      </c>
      <c r="F145" s="5" t="s">
        <v>2863</v>
      </c>
      <c r="G145" s="5" t="s">
        <v>21</v>
      </c>
      <c r="H145" s="5" t="s">
        <v>21</v>
      </c>
      <c r="I145" s="5" t="s">
        <v>2864</v>
      </c>
      <c r="J145" s="12" t="s">
        <v>414</v>
      </c>
      <c r="K145" s="5" t="s">
        <v>21</v>
      </c>
      <c r="L145" s="5" t="s">
        <v>21</v>
      </c>
      <c r="M145" s="5" t="s">
        <v>25</v>
      </c>
      <c r="N145" s="5" t="s">
        <v>26</v>
      </c>
      <c r="O145" s="5" t="s">
        <v>21</v>
      </c>
      <c r="P145" s="5" t="s">
        <v>21</v>
      </c>
      <c r="Q145" s="5" t="s">
        <v>21</v>
      </c>
      <c r="R145" s="5" t="s">
        <v>21</v>
      </c>
      <c r="S145" s="5" t="s">
        <v>21</v>
      </c>
      <c r="T145" s="5" t="s">
        <v>2865</v>
      </c>
      <c r="U145" s="5" t="s">
        <v>2866</v>
      </c>
      <c r="V145" s="5" t="s">
        <v>2867</v>
      </c>
      <c r="W145" s="5" t="s">
        <v>2868</v>
      </c>
      <c r="X145" s="5" t="s">
        <v>2869</v>
      </c>
      <c r="Y145" s="5" t="s">
        <v>2870</v>
      </c>
      <c r="Z145" s="5" t="s">
        <v>2871</v>
      </c>
      <c r="AA145" s="5" t="s">
        <v>618</v>
      </c>
      <c r="AB145" s="5" t="s">
        <v>2872</v>
      </c>
      <c r="AC145" s="5" t="s">
        <v>2873</v>
      </c>
      <c r="AD145" s="5" t="s">
        <v>2874</v>
      </c>
      <c r="AE145" s="5" t="s">
        <v>2875</v>
      </c>
      <c r="AF145" s="5">
        <v>46</v>
      </c>
      <c r="AG145" s="5">
        <v>20</v>
      </c>
      <c r="AH145" s="5">
        <v>22</v>
      </c>
      <c r="AI145" s="5">
        <v>9</v>
      </c>
      <c r="AJ145" s="5">
        <v>49</v>
      </c>
      <c r="AK145" s="5" t="s">
        <v>424</v>
      </c>
      <c r="AL145" s="5" t="s">
        <v>84</v>
      </c>
      <c r="AM145" s="5" t="s">
        <v>2219</v>
      </c>
      <c r="AN145" s="5" t="s">
        <v>427</v>
      </c>
      <c r="AO145" s="5" t="s">
        <v>428</v>
      </c>
      <c r="AP145" s="5" t="s">
        <v>21</v>
      </c>
      <c r="AQ145" s="5" t="s">
        <v>429</v>
      </c>
      <c r="AR145" s="5" t="s">
        <v>430</v>
      </c>
      <c r="AS145" s="5" t="s">
        <v>543</v>
      </c>
      <c r="AT145" s="5">
        <v>2021</v>
      </c>
      <c r="AU145" s="5">
        <v>89</v>
      </c>
      <c r="AV145" s="5" t="s">
        <v>21</v>
      </c>
      <c r="AW145" s="5" t="s">
        <v>21</v>
      </c>
      <c r="AX145" s="5" t="s">
        <v>21</v>
      </c>
      <c r="AY145" s="5" t="s">
        <v>21</v>
      </c>
      <c r="AZ145" s="5" t="s">
        <v>21</v>
      </c>
      <c r="BA145" s="5" t="s">
        <v>21</v>
      </c>
      <c r="BB145" s="5" t="s">
        <v>21</v>
      </c>
      <c r="BC145" s="5">
        <v>101878</v>
      </c>
      <c r="BD145" s="5" t="s">
        <v>2876</v>
      </c>
      <c r="BE145" s="5" t="str">
        <f>HYPERLINK("http://dx.doi.org/10.1016/j.rasd.2021.101878","http://dx.doi.org/10.1016/j.rasd.2021.101878")</f>
        <v>http://dx.doi.org/10.1016/j.rasd.2021.101878</v>
      </c>
      <c r="BF145" s="5" t="s">
        <v>21</v>
      </c>
      <c r="BG145" s="5" t="s">
        <v>968</v>
      </c>
      <c r="BH145" s="5">
        <v>9</v>
      </c>
      <c r="BI145" s="5" t="s">
        <v>433</v>
      </c>
      <c r="BJ145" s="5" t="s">
        <v>45</v>
      </c>
      <c r="BK145" s="5" t="s">
        <v>434</v>
      </c>
      <c r="BL145" s="5" t="s">
        <v>2877</v>
      </c>
      <c r="BM145" s="5" t="s">
        <v>21</v>
      </c>
      <c r="BN145" s="5" t="s">
        <v>21</v>
      </c>
      <c r="BO145" s="5" t="s">
        <v>21</v>
      </c>
      <c r="BP145" s="5" t="s">
        <v>21</v>
      </c>
      <c r="BQ145" s="5" t="s">
        <v>49</v>
      </c>
      <c r="BR145" s="5" t="s">
        <v>2878</v>
      </c>
      <c r="BS145" s="5" t="str">
        <f>HYPERLINK("https%3A%2F%2Fwww.webofscience.com%2Fwos%2Fwoscc%2Ffull-record%2FWOS:000718036600001","View Full Record in Web of Science")</f>
        <v>View Full Record in Web of Science</v>
      </c>
    </row>
    <row r="146" spans="1:71" x14ac:dyDescent="0.25">
      <c r="A146" t="s">
        <v>19</v>
      </c>
      <c r="B146" s="5" t="s">
        <v>2879</v>
      </c>
      <c r="C146" s="5" t="s">
        <v>21</v>
      </c>
      <c r="D146" s="5" t="s">
        <v>21</v>
      </c>
      <c r="E146" s="5" t="s">
        <v>21</v>
      </c>
      <c r="F146" s="5" t="s">
        <v>2880</v>
      </c>
      <c r="G146" s="5" t="s">
        <v>21</v>
      </c>
      <c r="H146" s="5" t="s">
        <v>21</v>
      </c>
      <c r="I146" s="5" t="s">
        <v>2881</v>
      </c>
      <c r="J146" s="12" t="s">
        <v>2882</v>
      </c>
      <c r="K146" s="5" t="s">
        <v>21</v>
      </c>
      <c r="L146" s="5" t="s">
        <v>21</v>
      </c>
      <c r="M146" s="5" t="s">
        <v>25</v>
      </c>
      <c r="N146" s="5" t="s">
        <v>76</v>
      </c>
      <c r="O146" s="5" t="s">
        <v>21</v>
      </c>
      <c r="P146" s="5" t="s">
        <v>21</v>
      </c>
      <c r="Q146" s="5" t="s">
        <v>21</v>
      </c>
      <c r="R146" s="5" t="s">
        <v>21</v>
      </c>
      <c r="S146" s="5" t="s">
        <v>21</v>
      </c>
      <c r="T146" s="5" t="s">
        <v>21</v>
      </c>
      <c r="U146" s="5" t="s">
        <v>2883</v>
      </c>
      <c r="V146" s="5" t="s">
        <v>2884</v>
      </c>
      <c r="W146" s="5" t="s">
        <v>2885</v>
      </c>
      <c r="X146" s="5" t="s">
        <v>2886</v>
      </c>
      <c r="Y146" s="5" t="s">
        <v>2887</v>
      </c>
      <c r="Z146" s="5" t="s">
        <v>2888</v>
      </c>
      <c r="AA146" s="5" t="s">
        <v>2889</v>
      </c>
      <c r="AB146" s="5" t="s">
        <v>2890</v>
      </c>
      <c r="AC146" s="5" t="s">
        <v>2891</v>
      </c>
      <c r="AD146" s="5" t="s">
        <v>2892</v>
      </c>
      <c r="AE146" s="5" t="s">
        <v>2893</v>
      </c>
      <c r="AF146" s="5">
        <v>291</v>
      </c>
      <c r="AG146" s="5">
        <v>20</v>
      </c>
      <c r="AH146" s="5">
        <v>21</v>
      </c>
      <c r="AI146" s="5">
        <v>7</v>
      </c>
      <c r="AJ146" s="5">
        <v>51</v>
      </c>
      <c r="AK146" s="5" t="s">
        <v>1292</v>
      </c>
      <c r="AL146" s="5" t="s">
        <v>252</v>
      </c>
      <c r="AM146" s="5" t="s">
        <v>1293</v>
      </c>
      <c r="AN146" s="5" t="s">
        <v>21</v>
      </c>
      <c r="AO146" s="5" t="s">
        <v>2894</v>
      </c>
      <c r="AP146" s="5" t="s">
        <v>21</v>
      </c>
      <c r="AQ146" s="5" t="s">
        <v>2895</v>
      </c>
      <c r="AR146" s="5" t="s">
        <v>2896</v>
      </c>
      <c r="AS146" s="5" t="s">
        <v>116</v>
      </c>
      <c r="AT146" s="5">
        <v>2021</v>
      </c>
      <c r="AU146" s="5">
        <v>17</v>
      </c>
      <c r="AV146" s="5">
        <v>3</v>
      </c>
      <c r="AW146" s="5" t="s">
        <v>21</v>
      </c>
      <c r="AX146" s="5" t="s">
        <v>21</v>
      </c>
      <c r="AY146" s="5" t="s">
        <v>21</v>
      </c>
      <c r="AZ146" s="5" t="s">
        <v>21</v>
      </c>
      <c r="BA146" s="5" t="s">
        <v>21</v>
      </c>
      <c r="BB146" s="5" t="s">
        <v>21</v>
      </c>
      <c r="BC146" s="5" t="s">
        <v>2897</v>
      </c>
      <c r="BD146" s="5" t="s">
        <v>2898</v>
      </c>
      <c r="BE146" s="5" t="str">
        <f>HYPERLINK("http://dx.doi.org/10.1002/cl2.1185","http://dx.doi.org/10.1002/cl2.1185")</f>
        <v>http://dx.doi.org/10.1002/cl2.1185</v>
      </c>
      <c r="BF146" s="5" t="s">
        <v>21</v>
      </c>
      <c r="BG146" s="5" t="s">
        <v>21</v>
      </c>
      <c r="BH146" s="5">
        <v>23</v>
      </c>
      <c r="BI146" s="5" t="s">
        <v>2899</v>
      </c>
      <c r="BJ146" s="5" t="s">
        <v>1907</v>
      </c>
      <c r="BK146" s="5" t="s">
        <v>2900</v>
      </c>
      <c r="BL146" s="5" t="s">
        <v>2901</v>
      </c>
      <c r="BM146" s="5">
        <v>37052419</v>
      </c>
      <c r="BN146" s="5" t="s">
        <v>1302</v>
      </c>
      <c r="BO146" s="5" t="s">
        <v>21</v>
      </c>
      <c r="BP146" s="5" t="s">
        <v>21</v>
      </c>
      <c r="BQ146" s="5" t="s">
        <v>49</v>
      </c>
      <c r="BR146" s="5" t="s">
        <v>2902</v>
      </c>
      <c r="BS146" s="5" t="str">
        <f>HYPERLINK("https%3A%2F%2Fwww.webofscience.com%2Fwos%2Fwoscc%2Ffull-record%2FWOS:000695646200009","View Full Record in Web of Science")</f>
        <v>View Full Record in Web of Science</v>
      </c>
    </row>
    <row r="147" spans="1:71" x14ac:dyDescent="0.25">
      <c r="A147" t="s">
        <v>19</v>
      </c>
      <c r="B147" s="5" t="s">
        <v>2903</v>
      </c>
      <c r="C147" s="5" t="s">
        <v>21</v>
      </c>
      <c r="D147" s="5" t="s">
        <v>21</v>
      </c>
      <c r="E147" s="5" t="s">
        <v>21</v>
      </c>
      <c r="F147" s="5" t="s">
        <v>2904</v>
      </c>
      <c r="G147" s="5" t="s">
        <v>21</v>
      </c>
      <c r="H147" s="5" t="s">
        <v>21</v>
      </c>
      <c r="I147" s="5" t="s">
        <v>2905</v>
      </c>
      <c r="J147" s="12" t="s">
        <v>1443</v>
      </c>
      <c r="K147" s="5" t="s">
        <v>21</v>
      </c>
      <c r="L147" s="5" t="s">
        <v>21</v>
      </c>
      <c r="M147" s="5" t="s">
        <v>25</v>
      </c>
      <c r="N147" s="5" t="s">
        <v>76</v>
      </c>
      <c r="O147" s="5" t="s">
        <v>21</v>
      </c>
      <c r="P147" s="5" t="s">
        <v>21</v>
      </c>
      <c r="Q147" s="5" t="s">
        <v>21</v>
      </c>
      <c r="R147" s="5" t="s">
        <v>21</v>
      </c>
      <c r="S147" s="5" t="s">
        <v>21</v>
      </c>
      <c r="T147" s="5" t="s">
        <v>2906</v>
      </c>
      <c r="U147" s="5" t="s">
        <v>2907</v>
      </c>
      <c r="V147" s="5" t="s">
        <v>2908</v>
      </c>
      <c r="W147" s="5" t="s">
        <v>2909</v>
      </c>
      <c r="X147" s="5" t="s">
        <v>2910</v>
      </c>
      <c r="Y147" s="5" t="s">
        <v>2911</v>
      </c>
      <c r="Z147" s="5" t="s">
        <v>2912</v>
      </c>
      <c r="AA147" s="5" t="s">
        <v>21</v>
      </c>
      <c r="AB147" s="5" t="s">
        <v>2913</v>
      </c>
      <c r="AC147" s="5" t="s">
        <v>21</v>
      </c>
      <c r="AD147" s="5" t="s">
        <v>21</v>
      </c>
      <c r="AE147" s="5" t="s">
        <v>21</v>
      </c>
      <c r="AF147" s="5">
        <v>29</v>
      </c>
      <c r="AG147" s="5">
        <v>20</v>
      </c>
      <c r="AH147" s="5">
        <v>20</v>
      </c>
      <c r="AI147" s="5">
        <v>7</v>
      </c>
      <c r="AJ147" s="5">
        <v>11</v>
      </c>
      <c r="AK147" s="5" t="s">
        <v>493</v>
      </c>
      <c r="AL147" s="5" t="s">
        <v>494</v>
      </c>
      <c r="AM147" s="5" t="s">
        <v>495</v>
      </c>
      <c r="AN147" s="5" t="s">
        <v>1453</v>
      </c>
      <c r="AO147" s="5" t="s">
        <v>1454</v>
      </c>
      <c r="AP147" s="5" t="s">
        <v>21</v>
      </c>
      <c r="AQ147" s="5" t="s">
        <v>1455</v>
      </c>
      <c r="AR147" s="5" t="s">
        <v>1456</v>
      </c>
      <c r="AS147" s="5" t="s">
        <v>2914</v>
      </c>
      <c r="AT147" s="5">
        <v>2023</v>
      </c>
      <c r="AU147" s="5">
        <v>31</v>
      </c>
      <c r="AV147" s="5">
        <v>2</v>
      </c>
      <c r="AW147" s="5" t="s">
        <v>21</v>
      </c>
      <c r="AX147" s="5" t="s">
        <v>21</v>
      </c>
      <c r="AY147" s="5" t="s">
        <v>21</v>
      </c>
      <c r="AZ147" s="5" t="s">
        <v>21</v>
      </c>
      <c r="BA147" s="5">
        <v>804</v>
      </c>
      <c r="BB147" s="5">
        <v>817</v>
      </c>
      <c r="BC147" s="5" t="s">
        <v>21</v>
      </c>
      <c r="BD147" s="5" t="s">
        <v>2915</v>
      </c>
      <c r="BE147" s="5" t="str">
        <f>HYPERLINK("http://dx.doi.org/10.1080/10494820.2020.1811733","http://dx.doi.org/10.1080/10494820.2020.1811733")</f>
        <v>http://dx.doi.org/10.1080/10494820.2020.1811733</v>
      </c>
      <c r="BF147" s="5" t="s">
        <v>21</v>
      </c>
      <c r="BG147" s="5" t="s">
        <v>886</v>
      </c>
      <c r="BH147" s="5">
        <v>14</v>
      </c>
      <c r="BI147" s="5" t="s">
        <v>503</v>
      </c>
      <c r="BJ147" s="5" t="s">
        <v>45</v>
      </c>
      <c r="BK147" s="5" t="s">
        <v>503</v>
      </c>
      <c r="BL147" s="5" t="s">
        <v>2916</v>
      </c>
      <c r="BM147" s="5" t="s">
        <v>21</v>
      </c>
      <c r="BN147" s="5" t="s">
        <v>21</v>
      </c>
      <c r="BO147" s="5" t="s">
        <v>21</v>
      </c>
      <c r="BP147" s="5" t="s">
        <v>21</v>
      </c>
      <c r="BQ147" s="5" t="s">
        <v>49</v>
      </c>
      <c r="BR147" s="5" t="s">
        <v>2917</v>
      </c>
      <c r="BS147" s="5" t="str">
        <f>HYPERLINK("https%3A%2F%2Fwww.webofscience.com%2Fwos%2Fwoscc%2Ffull-record%2FWOS:000566625200001","View Full Record in Web of Science")</f>
        <v>View Full Record in Web of Science</v>
      </c>
    </row>
    <row r="148" spans="1:71" x14ac:dyDescent="0.25">
      <c r="A148" t="s">
        <v>19</v>
      </c>
      <c r="B148" s="5" t="s">
        <v>2918</v>
      </c>
      <c r="C148" s="5" t="s">
        <v>21</v>
      </c>
      <c r="D148" s="5" t="s">
        <v>21</v>
      </c>
      <c r="E148" s="5" t="s">
        <v>21</v>
      </c>
      <c r="F148" s="5" t="s">
        <v>2919</v>
      </c>
      <c r="G148" s="5" t="s">
        <v>21</v>
      </c>
      <c r="H148" s="5" t="s">
        <v>21</v>
      </c>
      <c r="I148" s="5" t="s">
        <v>2920</v>
      </c>
      <c r="J148" s="12" t="s">
        <v>100</v>
      </c>
      <c r="K148" s="5" t="s">
        <v>21</v>
      </c>
      <c r="L148" s="5" t="s">
        <v>21</v>
      </c>
      <c r="M148" s="5" t="s">
        <v>25</v>
      </c>
      <c r="N148" s="5" t="s">
        <v>26</v>
      </c>
      <c r="O148" s="5" t="s">
        <v>21</v>
      </c>
      <c r="P148" s="5" t="s">
        <v>21</v>
      </c>
      <c r="Q148" s="5" t="s">
        <v>21</v>
      </c>
      <c r="R148" s="5" t="s">
        <v>21</v>
      </c>
      <c r="S148" s="5" t="s">
        <v>21</v>
      </c>
      <c r="T148" s="5" t="s">
        <v>2921</v>
      </c>
      <c r="U148" s="5" t="s">
        <v>2922</v>
      </c>
      <c r="V148" s="5" t="s">
        <v>2923</v>
      </c>
      <c r="W148" s="5" t="s">
        <v>2924</v>
      </c>
      <c r="X148" s="5" t="s">
        <v>2925</v>
      </c>
      <c r="Y148" s="5" t="s">
        <v>2926</v>
      </c>
      <c r="Z148" s="5" t="s">
        <v>2927</v>
      </c>
      <c r="AA148" s="5" t="s">
        <v>2928</v>
      </c>
      <c r="AB148" s="5" t="s">
        <v>2929</v>
      </c>
      <c r="AC148" s="5" t="s">
        <v>2930</v>
      </c>
      <c r="AD148" s="5" t="s">
        <v>2930</v>
      </c>
      <c r="AE148" s="5" t="s">
        <v>2931</v>
      </c>
      <c r="AF148" s="5">
        <v>49</v>
      </c>
      <c r="AG148" s="5">
        <v>20</v>
      </c>
      <c r="AH148" s="5">
        <v>20</v>
      </c>
      <c r="AI148" s="5">
        <v>9</v>
      </c>
      <c r="AJ148" s="5">
        <v>103</v>
      </c>
      <c r="AK148" s="5" t="s">
        <v>110</v>
      </c>
      <c r="AL148" s="5" t="s">
        <v>84</v>
      </c>
      <c r="AM148" s="5" t="s">
        <v>111</v>
      </c>
      <c r="AN148" s="5" t="s">
        <v>112</v>
      </c>
      <c r="AO148" s="5" t="s">
        <v>113</v>
      </c>
      <c r="AP148" s="5" t="s">
        <v>21</v>
      </c>
      <c r="AQ148" s="5" t="s">
        <v>114</v>
      </c>
      <c r="AR148" s="5" t="s">
        <v>115</v>
      </c>
      <c r="AS148" s="5" t="s">
        <v>176</v>
      </c>
      <c r="AT148" s="5">
        <v>2020</v>
      </c>
      <c r="AU148" s="5">
        <v>104</v>
      </c>
      <c r="AV148" s="5" t="s">
        <v>21</v>
      </c>
      <c r="AW148" s="5" t="s">
        <v>21</v>
      </c>
      <c r="AX148" s="5" t="s">
        <v>21</v>
      </c>
      <c r="AY148" s="5" t="s">
        <v>21</v>
      </c>
      <c r="AZ148" s="5" t="s">
        <v>21</v>
      </c>
      <c r="BA148" s="5" t="s">
        <v>21</v>
      </c>
      <c r="BB148" s="5" t="s">
        <v>21</v>
      </c>
      <c r="BC148" s="5">
        <v>106163</v>
      </c>
      <c r="BD148" s="5" t="s">
        <v>2932</v>
      </c>
      <c r="BE148" s="5" t="str">
        <f>HYPERLINK("http://dx.doi.org/10.1016/j.chb.2019.106163","http://dx.doi.org/10.1016/j.chb.2019.106163")</f>
        <v>http://dx.doi.org/10.1016/j.chb.2019.106163</v>
      </c>
      <c r="BF148" s="5" t="s">
        <v>21</v>
      </c>
      <c r="BG148" s="5" t="s">
        <v>21</v>
      </c>
      <c r="BH148" s="5">
        <v>14</v>
      </c>
      <c r="BI148" s="5" t="s">
        <v>118</v>
      </c>
      <c r="BJ148" s="5" t="s">
        <v>45</v>
      </c>
      <c r="BK148" s="5" t="s">
        <v>46</v>
      </c>
      <c r="BL148" s="5" t="s">
        <v>2933</v>
      </c>
      <c r="BM148" s="5" t="s">
        <v>21</v>
      </c>
      <c r="BN148" s="5" t="s">
        <v>21</v>
      </c>
      <c r="BO148" s="5" t="s">
        <v>21</v>
      </c>
      <c r="BP148" s="5" t="s">
        <v>21</v>
      </c>
      <c r="BQ148" s="5" t="s">
        <v>49</v>
      </c>
      <c r="BR148" s="5" t="s">
        <v>2934</v>
      </c>
      <c r="BS148" s="5" t="str">
        <f>HYPERLINK("https%3A%2F%2Fwww.webofscience.com%2Fwos%2Fwoscc%2Ffull-record%2FWOS:000510525100006","View Full Record in Web of Science")</f>
        <v>View Full Record in Web of Science</v>
      </c>
    </row>
    <row r="149" spans="1:71" x14ac:dyDescent="0.25">
      <c r="A149" t="s">
        <v>19</v>
      </c>
      <c r="B149" s="5" t="s">
        <v>2935</v>
      </c>
      <c r="C149" s="5" t="s">
        <v>21</v>
      </c>
      <c r="D149" s="5" t="s">
        <v>21</v>
      </c>
      <c r="E149" s="5" t="s">
        <v>21</v>
      </c>
      <c r="F149" s="5" t="s">
        <v>2936</v>
      </c>
      <c r="G149" s="5" t="s">
        <v>21</v>
      </c>
      <c r="H149" s="5" t="s">
        <v>21</v>
      </c>
      <c r="I149" s="5" t="s">
        <v>2937</v>
      </c>
      <c r="J149" s="12" t="s">
        <v>808</v>
      </c>
      <c r="K149" s="5" t="s">
        <v>21</v>
      </c>
      <c r="L149" s="5" t="s">
        <v>21</v>
      </c>
      <c r="M149" s="5" t="s">
        <v>25</v>
      </c>
      <c r="N149" s="5" t="s">
        <v>26</v>
      </c>
      <c r="O149" s="5" t="s">
        <v>21</v>
      </c>
      <c r="P149" s="5" t="s">
        <v>21</v>
      </c>
      <c r="Q149" s="5" t="s">
        <v>21</v>
      </c>
      <c r="R149" s="5" t="s">
        <v>21</v>
      </c>
      <c r="S149" s="5" t="s">
        <v>21</v>
      </c>
      <c r="T149" s="5" t="s">
        <v>2938</v>
      </c>
      <c r="U149" s="5" t="s">
        <v>2939</v>
      </c>
      <c r="V149" s="5" t="s">
        <v>2940</v>
      </c>
      <c r="W149" s="5" t="s">
        <v>2941</v>
      </c>
      <c r="X149" s="5" t="s">
        <v>2942</v>
      </c>
      <c r="Y149" s="5" t="s">
        <v>2943</v>
      </c>
      <c r="Z149" s="5" t="s">
        <v>2944</v>
      </c>
      <c r="AA149" s="5" t="s">
        <v>2945</v>
      </c>
      <c r="AB149" s="5" t="s">
        <v>2946</v>
      </c>
      <c r="AC149" s="5" t="s">
        <v>21</v>
      </c>
      <c r="AD149" s="5" t="s">
        <v>21</v>
      </c>
      <c r="AE149" s="5" t="s">
        <v>21</v>
      </c>
      <c r="AF149" s="5">
        <v>136</v>
      </c>
      <c r="AG149" s="5">
        <v>19</v>
      </c>
      <c r="AH149" s="5">
        <v>20</v>
      </c>
      <c r="AI149" s="5">
        <v>16</v>
      </c>
      <c r="AJ149" s="5">
        <v>65</v>
      </c>
      <c r="AK149" s="5" t="s">
        <v>193</v>
      </c>
      <c r="AL149" s="5" t="s">
        <v>194</v>
      </c>
      <c r="AM149" s="5" t="s">
        <v>195</v>
      </c>
      <c r="AN149" s="5" t="s">
        <v>21</v>
      </c>
      <c r="AO149" s="5" t="s">
        <v>821</v>
      </c>
      <c r="AP149" s="5" t="s">
        <v>21</v>
      </c>
      <c r="AQ149" s="5" t="s">
        <v>822</v>
      </c>
      <c r="AR149" s="5" t="s">
        <v>823</v>
      </c>
      <c r="AS149" s="5" t="s">
        <v>782</v>
      </c>
      <c r="AT149" s="5">
        <v>2023</v>
      </c>
      <c r="AU149" s="5">
        <v>13</v>
      </c>
      <c r="AV149" s="5">
        <v>4</v>
      </c>
      <c r="AW149" s="5" t="s">
        <v>21</v>
      </c>
      <c r="AX149" s="5" t="s">
        <v>21</v>
      </c>
      <c r="AY149" s="5" t="s">
        <v>21</v>
      </c>
      <c r="AZ149" s="5" t="s">
        <v>21</v>
      </c>
      <c r="BA149" s="5" t="s">
        <v>21</v>
      </c>
      <c r="BB149" s="5" t="s">
        <v>21</v>
      </c>
      <c r="BC149" s="5">
        <v>336</v>
      </c>
      <c r="BD149" s="5" t="s">
        <v>2947</v>
      </c>
      <c r="BE149" s="5" t="str">
        <f>HYPERLINK("http://dx.doi.org/10.3390/bs13040336","http://dx.doi.org/10.3390/bs13040336")</f>
        <v>http://dx.doi.org/10.3390/bs13040336</v>
      </c>
      <c r="BF149" s="5" t="s">
        <v>21</v>
      </c>
      <c r="BG149" s="5" t="s">
        <v>21</v>
      </c>
      <c r="BH149" s="5">
        <v>32</v>
      </c>
      <c r="BI149" s="5" t="s">
        <v>825</v>
      </c>
      <c r="BJ149" s="5" t="s">
        <v>45</v>
      </c>
      <c r="BK149" s="5" t="s">
        <v>46</v>
      </c>
      <c r="BL149" s="5" t="s">
        <v>2948</v>
      </c>
      <c r="BM149" s="5">
        <v>37102850</v>
      </c>
      <c r="BN149" s="5" t="s">
        <v>864</v>
      </c>
      <c r="BO149" s="5" t="s">
        <v>21</v>
      </c>
      <c r="BP149" s="5" t="s">
        <v>21</v>
      </c>
      <c r="BQ149" s="5" t="s">
        <v>49</v>
      </c>
      <c r="BR149" s="5" t="s">
        <v>2949</v>
      </c>
      <c r="BS149" s="5" t="str">
        <f>HYPERLINK("https%3A%2F%2Fwww.webofscience.com%2Fwos%2Fwoscc%2Ffull-record%2FWOS:000978018100001","View Full Record in Web of Science")</f>
        <v>View Full Record in Web of Science</v>
      </c>
    </row>
    <row r="150" spans="1:71" x14ac:dyDescent="0.25">
      <c r="A150" t="s">
        <v>19</v>
      </c>
      <c r="B150" s="5" t="s">
        <v>2950</v>
      </c>
      <c r="C150" s="5" t="s">
        <v>21</v>
      </c>
      <c r="D150" s="5" t="s">
        <v>21</v>
      </c>
      <c r="E150" s="5" t="s">
        <v>21</v>
      </c>
      <c r="F150" s="5" t="s">
        <v>2951</v>
      </c>
      <c r="G150" s="5" t="s">
        <v>21</v>
      </c>
      <c r="H150" s="5" t="s">
        <v>21</v>
      </c>
      <c r="I150" s="5" t="s">
        <v>2952</v>
      </c>
      <c r="J150" s="12" t="s">
        <v>1364</v>
      </c>
      <c r="K150" s="5" t="s">
        <v>21</v>
      </c>
      <c r="L150" s="5" t="s">
        <v>21</v>
      </c>
      <c r="M150" s="5" t="s">
        <v>25</v>
      </c>
      <c r="N150" s="5" t="s">
        <v>76</v>
      </c>
      <c r="O150" s="5" t="s">
        <v>21</v>
      </c>
      <c r="P150" s="5" t="s">
        <v>21</v>
      </c>
      <c r="Q150" s="5" t="s">
        <v>21</v>
      </c>
      <c r="R150" s="5" t="s">
        <v>21</v>
      </c>
      <c r="S150" s="5" t="s">
        <v>21</v>
      </c>
      <c r="T150" s="5" t="s">
        <v>2953</v>
      </c>
      <c r="U150" s="5" t="s">
        <v>2954</v>
      </c>
      <c r="V150" s="5" t="s">
        <v>2955</v>
      </c>
      <c r="W150" s="5" t="s">
        <v>2956</v>
      </c>
      <c r="X150" s="5" t="s">
        <v>2957</v>
      </c>
      <c r="Y150" s="5" t="s">
        <v>2958</v>
      </c>
      <c r="Z150" s="5" t="s">
        <v>2959</v>
      </c>
      <c r="AA150" s="5" t="s">
        <v>2960</v>
      </c>
      <c r="AB150" s="5" t="s">
        <v>2961</v>
      </c>
      <c r="AC150" s="5" t="s">
        <v>2962</v>
      </c>
      <c r="AD150" s="5" t="s">
        <v>2963</v>
      </c>
      <c r="AE150" s="5" t="s">
        <v>2964</v>
      </c>
      <c r="AF150" s="5">
        <v>46</v>
      </c>
      <c r="AG150" s="5">
        <v>19</v>
      </c>
      <c r="AH150" s="5">
        <v>22</v>
      </c>
      <c r="AI150" s="5">
        <v>8</v>
      </c>
      <c r="AJ150" s="5">
        <v>46</v>
      </c>
      <c r="AK150" s="5" t="s">
        <v>1377</v>
      </c>
      <c r="AL150" s="5" t="s">
        <v>64</v>
      </c>
      <c r="AM150" s="5" t="s">
        <v>1378</v>
      </c>
      <c r="AN150" s="5" t="s">
        <v>21</v>
      </c>
      <c r="AO150" s="5" t="s">
        <v>1379</v>
      </c>
      <c r="AP150" s="5" t="s">
        <v>21</v>
      </c>
      <c r="AQ150" s="5" t="s">
        <v>1380</v>
      </c>
      <c r="AR150" s="5" t="s">
        <v>1381</v>
      </c>
      <c r="AS150" s="5" t="s">
        <v>2965</v>
      </c>
      <c r="AT150" s="5">
        <v>2022</v>
      </c>
      <c r="AU150" s="5">
        <v>19</v>
      </c>
      <c r="AV150" s="5">
        <v>1</v>
      </c>
      <c r="AW150" s="5" t="s">
        <v>21</v>
      </c>
      <c r="AX150" s="5" t="s">
        <v>21</v>
      </c>
      <c r="AY150" s="5" t="s">
        <v>21</v>
      </c>
      <c r="AZ150" s="5" t="s">
        <v>21</v>
      </c>
      <c r="BA150" s="5" t="s">
        <v>21</v>
      </c>
      <c r="BB150" s="5" t="s">
        <v>21</v>
      </c>
      <c r="BC150" s="5">
        <v>91</v>
      </c>
      <c r="BD150" s="5" t="s">
        <v>2966</v>
      </c>
      <c r="BE150" s="5" t="str">
        <f>HYPERLINK("http://dx.doi.org/10.1186/s12984-022-01069-5","http://dx.doi.org/10.1186/s12984-022-01069-5")</f>
        <v>http://dx.doi.org/10.1186/s12984-022-01069-5</v>
      </c>
      <c r="BF150" s="5" t="s">
        <v>21</v>
      </c>
      <c r="BG150" s="5" t="s">
        <v>21</v>
      </c>
      <c r="BH150" s="5">
        <v>22</v>
      </c>
      <c r="BI150" s="5" t="s">
        <v>1384</v>
      </c>
      <c r="BJ150" s="5" t="s">
        <v>524</v>
      </c>
      <c r="BK150" s="5" t="s">
        <v>1385</v>
      </c>
      <c r="BL150" s="5" t="s">
        <v>2967</v>
      </c>
      <c r="BM150" s="5">
        <v>35982460</v>
      </c>
      <c r="BN150" s="5" t="s">
        <v>864</v>
      </c>
      <c r="BO150" s="5" t="s">
        <v>21</v>
      </c>
      <c r="BP150" s="5" t="s">
        <v>21</v>
      </c>
      <c r="BQ150" s="5" t="s">
        <v>49</v>
      </c>
      <c r="BR150" s="5" t="s">
        <v>2968</v>
      </c>
      <c r="BS150" s="5" t="str">
        <f>HYPERLINK("https%3A%2F%2Fwww.webofscience.com%2Fwos%2Fwoscc%2Ffull-record%2FWOS:000841753000001","View Full Record in Web of Science")</f>
        <v>View Full Record in Web of Science</v>
      </c>
    </row>
    <row r="151" spans="1:71" x14ac:dyDescent="0.25">
      <c r="A151" t="s">
        <v>19</v>
      </c>
      <c r="B151" s="5" t="s">
        <v>2969</v>
      </c>
      <c r="C151" s="5" t="s">
        <v>21</v>
      </c>
      <c r="D151" s="5" t="s">
        <v>21</v>
      </c>
      <c r="E151" s="5" t="s">
        <v>21</v>
      </c>
      <c r="F151" s="5" t="s">
        <v>2970</v>
      </c>
      <c r="G151" s="5" t="s">
        <v>21</v>
      </c>
      <c r="H151" s="5" t="s">
        <v>21</v>
      </c>
      <c r="I151" s="5" t="s">
        <v>2971</v>
      </c>
      <c r="J151" s="12" t="s">
        <v>2972</v>
      </c>
      <c r="K151" s="5" t="s">
        <v>21</v>
      </c>
      <c r="L151" s="5" t="s">
        <v>21</v>
      </c>
      <c r="M151" s="5" t="s">
        <v>25</v>
      </c>
      <c r="N151" s="5" t="s">
        <v>26</v>
      </c>
      <c r="O151" s="5" t="s">
        <v>21</v>
      </c>
      <c r="P151" s="5" t="s">
        <v>21</v>
      </c>
      <c r="Q151" s="5" t="s">
        <v>21</v>
      </c>
      <c r="R151" s="5" t="s">
        <v>21</v>
      </c>
      <c r="S151" s="5" t="s">
        <v>21</v>
      </c>
      <c r="T151" s="5" t="s">
        <v>2973</v>
      </c>
      <c r="U151" s="5" t="s">
        <v>2974</v>
      </c>
      <c r="V151" s="5" t="s">
        <v>2975</v>
      </c>
      <c r="W151" s="5" t="s">
        <v>2976</v>
      </c>
      <c r="X151" s="5" t="s">
        <v>2977</v>
      </c>
      <c r="Y151" s="5" t="s">
        <v>2978</v>
      </c>
      <c r="Z151" s="5" t="s">
        <v>634</v>
      </c>
      <c r="AA151" s="5" t="s">
        <v>2979</v>
      </c>
      <c r="AB151" s="5" t="s">
        <v>2980</v>
      </c>
      <c r="AC151" s="5" t="s">
        <v>21</v>
      </c>
      <c r="AD151" s="5" t="s">
        <v>21</v>
      </c>
      <c r="AE151" s="5" t="s">
        <v>21</v>
      </c>
      <c r="AF151" s="5">
        <v>52</v>
      </c>
      <c r="AG151" s="5">
        <v>19</v>
      </c>
      <c r="AH151" s="5">
        <v>20</v>
      </c>
      <c r="AI151" s="5">
        <v>1</v>
      </c>
      <c r="AJ151" s="5">
        <v>33</v>
      </c>
      <c r="AK151" s="5" t="s">
        <v>2981</v>
      </c>
      <c r="AL151" s="5" t="s">
        <v>2982</v>
      </c>
      <c r="AM151" s="5" t="s">
        <v>2983</v>
      </c>
      <c r="AN151" s="5" t="s">
        <v>2984</v>
      </c>
      <c r="AO151" s="5" t="s">
        <v>21</v>
      </c>
      <c r="AP151" s="5" t="s">
        <v>21</v>
      </c>
      <c r="AQ151" s="5" t="s">
        <v>2985</v>
      </c>
      <c r="AR151" s="5" t="s">
        <v>2986</v>
      </c>
      <c r="AS151" s="5" t="s">
        <v>2987</v>
      </c>
      <c r="AT151" s="5">
        <v>2020</v>
      </c>
      <c r="AU151" s="5">
        <v>14</v>
      </c>
      <c r="AV151" s="5">
        <v>3</v>
      </c>
      <c r="AW151" s="5" t="s">
        <v>21</v>
      </c>
      <c r="AX151" s="5" t="s">
        <v>21</v>
      </c>
      <c r="AY151" s="5" t="s">
        <v>21</v>
      </c>
      <c r="AZ151" s="5" t="s">
        <v>21</v>
      </c>
      <c r="BA151" s="5">
        <v>187</v>
      </c>
      <c r="BB151" s="5">
        <v>199</v>
      </c>
      <c r="BC151" s="5" t="s">
        <v>21</v>
      </c>
      <c r="BD151" s="5" t="s">
        <v>2988</v>
      </c>
      <c r="BE151" s="5" t="str">
        <f>HYPERLINK("http://dx.doi.org/10.1108/JET-07-2020-0028","http://dx.doi.org/10.1108/JET-07-2020-0028")</f>
        <v>http://dx.doi.org/10.1108/JET-07-2020-0028</v>
      </c>
      <c r="BF151" s="5" t="s">
        <v>21</v>
      </c>
      <c r="BG151" s="5" t="s">
        <v>2989</v>
      </c>
      <c r="BH151" s="5">
        <v>13</v>
      </c>
      <c r="BI151" s="5" t="s">
        <v>2990</v>
      </c>
      <c r="BJ151" s="5" t="s">
        <v>1907</v>
      </c>
      <c r="BK151" s="5" t="s">
        <v>2990</v>
      </c>
      <c r="BL151" s="5" t="s">
        <v>2991</v>
      </c>
      <c r="BM151" s="5" t="s">
        <v>21</v>
      </c>
      <c r="BN151" s="5" t="s">
        <v>21</v>
      </c>
      <c r="BO151" s="5" t="s">
        <v>21</v>
      </c>
      <c r="BP151" s="5" t="s">
        <v>21</v>
      </c>
      <c r="BQ151" s="5" t="s">
        <v>49</v>
      </c>
      <c r="BR151" s="5" t="s">
        <v>2992</v>
      </c>
      <c r="BS151" s="5" t="str">
        <f>HYPERLINK("https%3A%2F%2Fwww.webofscience.com%2Fwos%2Fwoscc%2Ffull-record%2FWOS:000586816500001","View Full Record in Web of Science")</f>
        <v>View Full Record in Web of Science</v>
      </c>
    </row>
    <row r="152" spans="1:71" x14ac:dyDescent="0.25">
      <c r="A152" t="s">
        <v>19</v>
      </c>
      <c r="B152" s="5" t="s">
        <v>2993</v>
      </c>
      <c r="C152" s="5" t="s">
        <v>21</v>
      </c>
      <c r="D152" s="5" t="s">
        <v>21</v>
      </c>
      <c r="E152" s="5" t="s">
        <v>21</v>
      </c>
      <c r="F152" s="5" t="s">
        <v>2994</v>
      </c>
      <c r="G152" s="5" t="s">
        <v>21</v>
      </c>
      <c r="H152" s="5" t="s">
        <v>21</v>
      </c>
      <c r="I152" s="5" t="s">
        <v>2995</v>
      </c>
      <c r="J152" s="12" t="s">
        <v>24</v>
      </c>
      <c r="K152" s="5" t="s">
        <v>21</v>
      </c>
      <c r="L152" s="5" t="s">
        <v>21</v>
      </c>
      <c r="M152" s="5" t="s">
        <v>25</v>
      </c>
      <c r="N152" s="5" t="s">
        <v>26</v>
      </c>
      <c r="O152" s="5" t="s">
        <v>21</v>
      </c>
      <c r="P152" s="5" t="s">
        <v>21</v>
      </c>
      <c r="Q152" s="5" t="s">
        <v>21</v>
      </c>
      <c r="R152" s="5" t="s">
        <v>21</v>
      </c>
      <c r="S152" s="5" t="s">
        <v>21</v>
      </c>
      <c r="T152" s="5" t="s">
        <v>2996</v>
      </c>
      <c r="U152" s="5" t="s">
        <v>2997</v>
      </c>
      <c r="V152" s="5" t="s">
        <v>2998</v>
      </c>
      <c r="W152" s="5" t="s">
        <v>2999</v>
      </c>
      <c r="X152" s="5" t="s">
        <v>3000</v>
      </c>
      <c r="Y152" s="5" t="s">
        <v>3001</v>
      </c>
      <c r="Z152" s="5" t="s">
        <v>1127</v>
      </c>
      <c r="AA152" s="5" t="s">
        <v>3002</v>
      </c>
      <c r="AB152" s="5" t="s">
        <v>3003</v>
      </c>
      <c r="AC152" s="5" t="s">
        <v>3004</v>
      </c>
      <c r="AD152" s="5" t="s">
        <v>3005</v>
      </c>
      <c r="AE152" s="5" t="s">
        <v>3006</v>
      </c>
      <c r="AF152" s="5">
        <v>51</v>
      </c>
      <c r="AG152" s="5">
        <v>19</v>
      </c>
      <c r="AH152" s="5">
        <v>19</v>
      </c>
      <c r="AI152" s="5">
        <v>6</v>
      </c>
      <c r="AJ152" s="5">
        <v>27</v>
      </c>
      <c r="AK152" s="5" t="s">
        <v>35</v>
      </c>
      <c r="AL152" s="5" t="s">
        <v>36</v>
      </c>
      <c r="AM152" s="5" t="s">
        <v>37</v>
      </c>
      <c r="AN152" s="5" t="s">
        <v>38</v>
      </c>
      <c r="AO152" s="5" t="s">
        <v>39</v>
      </c>
      <c r="AP152" s="5" t="s">
        <v>21</v>
      </c>
      <c r="AQ152" s="5" t="s">
        <v>40</v>
      </c>
      <c r="AR152" s="5" t="s">
        <v>41</v>
      </c>
      <c r="AS152" s="5" t="s">
        <v>269</v>
      </c>
      <c r="AT152" s="5">
        <v>2020</v>
      </c>
      <c r="AU152" s="5">
        <v>50</v>
      </c>
      <c r="AV152" s="5">
        <v>12</v>
      </c>
      <c r="AW152" s="5" t="s">
        <v>21</v>
      </c>
      <c r="AX152" s="5" t="s">
        <v>21</v>
      </c>
      <c r="AY152" s="5" t="s">
        <v>21</v>
      </c>
      <c r="AZ152" s="5" t="s">
        <v>21</v>
      </c>
      <c r="BA152" s="5">
        <v>4317</v>
      </c>
      <c r="BB152" s="5">
        <v>4328</v>
      </c>
      <c r="BC152" s="5" t="s">
        <v>21</v>
      </c>
      <c r="BD152" s="5" t="s">
        <v>3007</v>
      </c>
      <c r="BE152" s="5" t="str">
        <f>HYPERLINK("http://dx.doi.org/10.1007/s10803-020-04484-6","http://dx.doi.org/10.1007/s10803-020-04484-6")</f>
        <v>http://dx.doi.org/10.1007/s10803-020-04484-6</v>
      </c>
      <c r="BF152" s="5" t="s">
        <v>21</v>
      </c>
      <c r="BG152" s="5" t="s">
        <v>3008</v>
      </c>
      <c r="BH152" s="5">
        <v>12</v>
      </c>
      <c r="BI152" s="5" t="s">
        <v>44</v>
      </c>
      <c r="BJ152" s="5" t="s">
        <v>45</v>
      </c>
      <c r="BK152" s="5" t="s">
        <v>46</v>
      </c>
      <c r="BL152" s="5" t="s">
        <v>3009</v>
      </c>
      <c r="BM152" s="5">
        <v>32266686</v>
      </c>
      <c r="BN152" s="5" t="s">
        <v>21</v>
      </c>
      <c r="BO152" s="5" t="s">
        <v>21</v>
      </c>
      <c r="BP152" s="5" t="s">
        <v>21</v>
      </c>
      <c r="BQ152" s="5" t="s">
        <v>49</v>
      </c>
      <c r="BR152" s="5" t="s">
        <v>3010</v>
      </c>
      <c r="BS152" s="5" t="str">
        <f>HYPERLINK("https%3A%2F%2Fwww.webofscience.com%2Fwos%2Fwoscc%2Ffull-record%2FWOS:000524624300002","View Full Record in Web of Science")</f>
        <v>View Full Record in Web of Science</v>
      </c>
    </row>
    <row r="153" spans="1:71" x14ac:dyDescent="0.25">
      <c r="A153" t="s">
        <v>19</v>
      </c>
      <c r="B153" s="5" t="s">
        <v>3011</v>
      </c>
      <c r="C153" s="5" t="s">
        <v>21</v>
      </c>
      <c r="D153" s="5" t="s">
        <v>21</v>
      </c>
      <c r="E153" s="5" t="s">
        <v>21</v>
      </c>
      <c r="F153" s="5" t="s">
        <v>3012</v>
      </c>
      <c r="G153" s="5" t="s">
        <v>21</v>
      </c>
      <c r="H153" s="5" t="s">
        <v>21</v>
      </c>
      <c r="I153" s="5" t="s">
        <v>3013</v>
      </c>
      <c r="J153" s="12" t="s">
        <v>3014</v>
      </c>
      <c r="K153" s="5" t="s">
        <v>21</v>
      </c>
      <c r="L153" s="5" t="s">
        <v>21</v>
      </c>
      <c r="M153" s="5" t="s">
        <v>25</v>
      </c>
      <c r="N153" s="5" t="s">
        <v>26</v>
      </c>
      <c r="O153" s="5" t="s">
        <v>21</v>
      </c>
      <c r="P153" s="5" t="s">
        <v>21</v>
      </c>
      <c r="Q153" s="5" t="s">
        <v>21</v>
      </c>
      <c r="R153" s="5" t="s">
        <v>21</v>
      </c>
      <c r="S153" s="5" t="s">
        <v>21</v>
      </c>
      <c r="T153" s="5" t="s">
        <v>3015</v>
      </c>
      <c r="U153" s="5" t="s">
        <v>3016</v>
      </c>
      <c r="V153" s="5" t="s">
        <v>3017</v>
      </c>
      <c r="W153" s="5" t="s">
        <v>3018</v>
      </c>
      <c r="X153" s="5" t="s">
        <v>3019</v>
      </c>
      <c r="Y153" s="5" t="s">
        <v>3020</v>
      </c>
      <c r="Z153" s="5" t="s">
        <v>3021</v>
      </c>
      <c r="AA153" s="5" t="s">
        <v>21</v>
      </c>
      <c r="AB153" s="5" t="s">
        <v>21</v>
      </c>
      <c r="AC153" s="5" t="s">
        <v>3022</v>
      </c>
      <c r="AD153" s="5" t="s">
        <v>3022</v>
      </c>
      <c r="AE153" s="5" t="s">
        <v>3023</v>
      </c>
      <c r="AF153" s="5">
        <v>59</v>
      </c>
      <c r="AG153" s="5">
        <v>19</v>
      </c>
      <c r="AH153" s="5">
        <v>20</v>
      </c>
      <c r="AI153" s="5">
        <v>3</v>
      </c>
      <c r="AJ153" s="5">
        <v>31</v>
      </c>
      <c r="AK153" s="5" t="s">
        <v>493</v>
      </c>
      <c r="AL153" s="5" t="s">
        <v>494</v>
      </c>
      <c r="AM153" s="5" t="s">
        <v>495</v>
      </c>
      <c r="AN153" s="5" t="s">
        <v>3024</v>
      </c>
      <c r="AO153" s="5" t="s">
        <v>3025</v>
      </c>
      <c r="AP153" s="5" t="s">
        <v>21</v>
      </c>
      <c r="AQ153" s="5" t="s">
        <v>3026</v>
      </c>
      <c r="AR153" s="5" t="s">
        <v>3027</v>
      </c>
      <c r="AS153" s="5" t="s">
        <v>3028</v>
      </c>
      <c r="AT153" s="5">
        <v>2020</v>
      </c>
      <c r="AU153" s="5">
        <v>26</v>
      </c>
      <c r="AV153" s="5">
        <v>5</v>
      </c>
      <c r="AW153" s="5" t="s">
        <v>21</v>
      </c>
      <c r="AX153" s="5" t="s">
        <v>21</v>
      </c>
      <c r="AY153" s="5" t="s">
        <v>21</v>
      </c>
      <c r="AZ153" s="5" t="s">
        <v>21</v>
      </c>
      <c r="BA153" s="5">
        <v>649</v>
      </c>
      <c r="BB153" s="5">
        <v>665</v>
      </c>
      <c r="BC153" s="5" t="s">
        <v>21</v>
      </c>
      <c r="BD153" s="5" t="s">
        <v>3029</v>
      </c>
      <c r="BE153" s="5" t="str">
        <f>HYPERLINK("http://dx.doi.org/10.1080/09297049.2020.1713311","http://dx.doi.org/10.1080/09297049.2020.1713311")</f>
        <v>http://dx.doi.org/10.1080/09297049.2020.1713311</v>
      </c>
      <c r="BF153" s="5" t="s">
        <v>21</v>
      </c>
      <c r="BG153" s="5" t="s">
        <v>3030</v>
      </c>
      <c r="BH153" s="5">
        <v>17</v>
      </c>
      <c r="BI153" s="5" t="s">
        <v>3031</v>
      </c>
      <c r="BJ153" s="5" t="s">
        <v>92</v>
      </c>
      <c r="BK153" s="5" t="s">
        <v>1167</v>
      </c>
      <c r="BL153" s="5" t="s">
        <v>3032</v>
      </c>
      <c r="BM153" s="5">
        <v>31937180</v>
      </c>
      <c r="BN153" s="5" t="s">
        <v>21</v>
      </c>
      <c r="BO153" s="5" t="s">
        <v>21</v>
      </c>
      <c r="BP153" s="5" t="s">
        <v>21</v>
      </c>
      <c r="BQ153" s="5" t="s">
        <v>49</v>
      </c>
      <c r="BR153" s="5" t="s">
        <v>3033</v>
      </c>
      <c r="BS153" s="5" t="str">
        <f>HYPERLINK("https%3A%2F%2Fwww.webofscience.com%2Fwos%2Fwoscc%2Ffull-record%2FWOS:000507217100001","View Full Record in Web of Science")</f>
        <v>View Full Record in Web of Science</v>
      </c>
    </row>
    <row r="154" spans="1:71" x14ac:dyDescent="0.25">
      <c r="A154" t="s">
        <v>19</v>
      </c>
      <c r="B154" s="5" t="s">
        <v>3034</v>
      </c>
      <c r="C154" s="5" t="s">
        <v>21</v>
      </c>
      <c r="D154" s="5" t="s">
        <v>21</v>
      </c>
      <c r="E154" s="5" t="s">
        <v>21</v>
      </c>
      <c r="F154" s="5" t="s">
        <v>3035</v>
      </c>
      <c r="G154" s="5" t="s">
        <v>21</v>
      </c>
      <c r="H154" s="5" t="s">
        <v>21</v>
      </c>
      <c r="I154" s="5" t="s">
        <v>3036</v>
      </c>
      <c r="J154" s="12" t="s">
        <v>3037</v>
      </c>
      <c r="K154" s="5" t="s">
        <v>21</v>
      </c>
      <c r="L154" s="5" t="s">
        <v>21</v>
      </c>
      <c r="M154" s="5" t="s">
        <v>25</v>
      </c>
      <c r="N154" s="5" t="s">
        <v>26</v>
      </c>
      <c r="O154" s="5" t="s">
        <v>21</v>
      </c>
      <c r="P154" s="5" t="s">
        <v>21</v>
      </c>
      <c r="Q154" s="5" t="s">
        <v>21</v>
      </c>
      <c r="R154" s="5" t="s">
        <v>21</v>
      </c>
      <c r="S154" s="5" t="s">
        <v>21</v>
      </c>
      <c r="T154" s="5" t="s">
        <v>3038</v>
      </c>
      <c r="U154" s="5" t="s">
        <v>3039</v>
      </c>
      <c r="V154" s="5" t="s">
        <v>3040</v>
      </c>
      <c r="W154" s="5" t="s">
        <v>3041</v>
      </c>
      <c r="X154" s="5" t="s">
        <v>3042</v>
      </c>
      <c r="Y154" s="5" t="s">
        <v>3043</v>
      </c>
      <c r="Z154" s="5" t="s">
        <v>3044</v>
      </c>
      <c r="AA154" s="5" t="s">
        <v>21</v>
      </c>
      <c r="AB154" s="5" t="s">
        <v>3045</v>
      </c>
      <c r="AC154" s="5" t="s">
        <v>3022</v>
      </c>
      <c r="AD154" s="5" t="s">
        <v>3022</v>
      </c>
      <c r="AE154" s="5" t="s">
        <v>3046</v>
      </c>
      <c r="AF154" s="5">
        <v>36</v>
      </c>
      <c r="AG154" s="5">
        <v>19</v>
      </c>
      <c r="AH154" s="5">
        <v>25</v>
      </c>
      <c r="AI154" s="5">
        <v>2</v>
      </c>
      <c r="AJ154" s="5">
        <v>14</v>
      </c>
      <c r="AK154" s="5" t="s">
        <v>838</v>
      </c>
      <c r="AL154" s="5" t="s">
        <v>585</v>
      </c>
      <c r="AM154" s="5" t="s">
        <v>839</v>
      </c>
      <c r="AN154" s="5" t="s">
        <v>3047</v>
      </c>
      <c r="AO154" s="5" t="s">
        <v>3048</v>
      </c>
      <c r="AP154" s="5" t="s">
        <v>21</v>
      </c>
      <c r="AQ154" s="5" t="s">
        <v>3049</v>
      </c>
      <c r="AR154" s="5" t="s">
        <v>3050</v>
      </c>
      <c r="AS154" s="5" t="s">
        <v>3051</v>
      </c>
      <c r="AT154" s="5">
        <v>2018</v>
      </c>
      <c r="AU154" s="5">
        <v>39</v>
      </c>
      <c r="AV154" s="5">
        <v>6</v>
      </c>
      <c r="AW154" s="5" t="s">
        <v>21</v>
      </c>
      <c r="AX154" s="5" t="s">
        <v>21</v>
      </c>
      <c r="AY154" s="5" t="s">
        <v>21</v>
      </c>
      <c r="AZ154" s="5" t="s">
        <v>21</v>
      </c>
      <c r="BA154" s="5">
        <v>451</v>
      </c>
      <c r="BB154" s="5">
        <v>460</v>
      </c>
      <c r="BC154" s="5" t="s">
        <v>21</v>
      </c>
      <c r="BD154" s="5" t="s">
        <v>3052</v>
      </c>
      <c r="BE154" s="5" t="str">
        <f>HYPERLINK("http://dx.doi.org/10.1097/DBP.0000000000000581","http://dx.doi.org/10.1097/DBP.0000000000000581")</f>
        <v>http://dx.doi.org/10.1097/DBP.0000000000000581</v>
      </c>
      <c r="BF154" s="5" t="s">
        <v>21</v>
      </c>
      <c r="BG154" s="5" t="s">
        <v>21</v>
      </c>
      <c r="BH154" s="5">
        <v>10</v>
      </c>
      <c r="BI154" s="5" t="s">
        <v>3053</v>
      </c>
      <c r="BJ154" s="5" t="s">
        <v>92</v>
      </c>
      <c r="BK154" s="5" t="s">
        <v>3054</v>
      </c>
      <c r="BL154" s="5" t="s">
        <v>3055</v>
      </c>
      <c r="BM154" s="5">
        <v>29787403</v>
      </c>
      <c r="BN154" s="5" t="s">
        <v>21</v>
      </c>
      <c r="BO154" s="5" t="s">
        <v>21</v>
      </c>
      <c r="BP154" s="5" t="s">
        <v>21</v>
      </c>
      <c r="BQ154" s="5" t="s">
        <v>49</v>
      </c>
      <c r="BR154" s="5" t="s">
        <v>3056</v>
      </c>
      <c r="BS154" s="5" t="str">
        <f>HYPERLINK("https%3A%2F%2Fwww.webofscience.com%2Fwos%2Fwoscc%2Ffull-record%2FWOS:000452561800001","View Full Record in Web of Science")</f>
        <v>View Full Record in Web of Science</v>
      </c>
    </row>
    <row r="155" spans="1:71" x14ac:dyDescent="0.25">
      <c r="A155" t="s">
        <v>19</v>
      </c>
      <c r="B155" s="5" t="s">
        <v>3057</v>
      </c>
      <c r="C155" s="5" t="s">
        <v>21</v>
      </c>
      <c r="D155" s="5" t="s">
        <v>21</v>
      </c>
      <c r="E155" s="5" t="s">
        <v>21</v>
      </c>
      <c r="F155" s="5" t="s">
        <v>3058</v>
      </c>
      <c r="G155" s="5" t="s">
        <v>21</v>
      </c>
      <c r="H155" s="5" t="s">
        <v>21</v>
      </c>
      <c r="I155" s="5" t="s">
        <v>3059</v>
      </c>
      <c r="J155" s="12" t="s">
        <v>894</v>
      </c>
      <c r="K155" s="5" t="s">
        <v>21</v>
      </c>
      <c r="L155" s="5" t="s">
        <v>21</v>
      </c>
      <c r="M155" s="5" t="s">
        <v>25</v>
      </c>
      <c r="N155" s="5" t="s">
        <v>76</v>
      </c>
      <c r="O155" s="5" t="s">
        <v>21</v>
      </c>
      <c r="P155" s="5" t="s">
        <v>21</v>
      </c>
      <c r="Q155" s="5" t="s">
        <v>21</v>
      </c>
      <c r="R155" s="5" t="s">
        <v>21</v>
      </c>
      <c r="S155" s="5" t="s">
        <v>21</v>
      </c>
      <c r="T155" s="5" t="s">
        <v>3060</v>
      </c>
      <c r="U155" s="5" t="s">
        <v>3061</v>
      </c>
      <c r="V155" s="5" t="s">
        <v>3062</v>
      </c>
      <c r="W155" s="5" t="s">
        <v>3063</v>
      </c>
      <c r="X155" s="5" t="s">
        <v>3064</v>
      </c>
      <c r="Y155" s="5" t="s">
        <v>3065</v>
      </c>
      <c r="Z155" s="5" t="s">
        <v>3066</v>
      </c>
      <c r="AA155" s="5" t="s">
        <v>3067</v>
      </c>
      <c r="AB155" s="5" t="s">
        <v>3068</v>
      </c>
      <c r="AC155" s="5" t="s">
        <v>3069</v>
      </c>
      <c r="AD155" s="5" t="s">
        <v>3070</v>
      </c>
      <c r="AE155" s="5" t="s">
        <v>3071</v>
      </c>
      <c r="AF155" s="5">
        <v>165</v>
      </c>
      <c r="AG155" s="5">
        <v>18</v>
      </c>
      <c r="AH155" s="5">
        <v>18</v>
      </c>
      <c r="AI155" s="5">
        <v>4</v>
      </c>
      <c r="AJ155" s="5">
        <v>24</v>
      </c>
      <c r="AK155" s="5" t="s">
        <v>904</v>
      </c>
      <c r="AL155" s="5" t="s">
        <v>36</v>
      </c>
      <c r="AM155" s="5" t="s">
        <v>905</v>
      </c>
      <c r="AN155" s="5" t="s">
        <v>906</v>
      </c>
      <c r="AO155" s="5" t="s">
        <v>907</v>
      </c>
      <c r="AP155" s="5" t="s">
        <v>21</v>
      </c>
      <c r="AQ155" s="5" t="s">
        <v>908</v>
      </c>
      <c r="AR155" s="5" t="s">
        <v>909</v>
      </c>
      <c r="AS155" s="5" t="s">
        <v>199</v>
      </c>
      <c r="AT155" s="5">
        <v>2023</v>
      </c>
      <c r="AU155" s="5">
        <v>28</v>
      </c>
      <c r="AV155" s="5">
        <v>8</v>
      </c>
      <c r="AW155" s="5" t="s">
        <v>21</v>
      </c>
      <c r="AX155" s="5" t="s">
        <v>21</v>
      </c>
      <c r="AY155" s="5" t="s">
        <v>21</v>
      </c>
      <c r="AZ155" s="5" t="s">
        <v>21</v>
      </c>
      <c r="BA155" s="5">
        <v>9557</v>
      </c>
      <c r="BB155" s="5">
        <v>9605</v>
      </c>
      <c r="BC155" s="5" t="s">
        <v>21</v>
      </c>
      <c r="BD155" s="5" t="s">
        <v>3072</v>
      </c>
      <c r="BE155" s="5" t="str">
        <f>HYPERLINK("http://dx.doi.org/10.1007/s10639-022-11545-z","http://dx.doi.org/10.1007/s10639-022-11545-z")</f>
        <v>http://dx.doi.org/10.1007/s10639-022-11545-z</v>
      </c>
      <c r="BF155" s="5" t="s">
        <v>21</v>
      </c>
      <c r="BG155" s="5" t="s">
        <v>3073</v>
      </c>
      <c r="BH155" s="5">
        <v>49</v>
      </c>
      <c r="BI155" s="5" t="s">
        <v>503</v>
      </c>
      <c r="BJ155" s="5" t="s">
        <v>45</v>
      </c>
      <c r="BK155" s="5" t="s">
        <v>503</v>
      </c>
      <c r="BL155" s="5" t="s">
        <v>3074</v>
      </c>
      <c r="BM155" s="5" t="s">
        <v>21</v>
      </c>
      <c r="BN155" s="5" t="s">
        <v>21</v>
      </c>
      <c r="BO155" s="5" t="s">
        <v>21</v>
      </c>
      <c r="BP155" s="5" t="s">
        <v>21</v>
      </c>
      <c r="BQ155" s="5" t="s">
        <v>49</v>
      </c>
      <c r="BR155" s="5" t="s">
        <v>3075</v>
      </c>
      <c r="BS155" s="5" t="str">
        <f>HYPERLINK("https%3A%2F%2Fwww.webofscience.com%2Fwos%2Fwoscc%2Ffull-record%2FWOS:000913520900001","View Full Record in Web of Science")</f>
        <v>View Full Record in Web of Science</v>
      </c>
    </row>
    <row r="156" spans="1:71" x14ac:dyDescent="0.25">
      <c r="A156" t="s">
        <v>19</v>
      </c>
      <c r="B156" s="5" t="s">
        <v>3076</v>
      </c>
      <c r="C156" s="5" t="s">
        <v>21</v>
      </c>
      <c r="D156" s="5" t="s">
        <v>21</v>
      </c>
      <c r="E156" s="5" t="s">
        <v>21</v>
      </c>
      <c r="F156" s="5" t="s">
        <v>3077</v>
      </c>
      <c r="G156" s="5" t="s">
        <v>21</v>
      </c>
      <c r="H156" s="5" t="s">
        <v>21</v>
      </c>
      <c r="I156" s="5" t="s">
        <v>3078</v>
      </c>
      <c r="J156" s="12" t="s">
        <v>763</v>
      </c>
      <c r="K156" s="5" t="s">
        <v>21</v>
      </c>
      <c r="L156" s="5" t="s">
        <v>21</v>
      </c>
      <c r="M156" s="5" t="s">
        <v>25</v>
      </c>
      <c r="N156" s="5" t="s">
        <v>236</v>
      </c>
      <c r="O156" s="5" t="s">
        <v>3079</v>
      </c>
      <c r="P156" s="5" t="s">
        <v>3080</v>
      </c>
      <c r="Q156" s="5" t="s">
        <v>3081</v>
      </c>
      <c r="R156" s="5" t="s">
        <v>3082</v>
      </c>
      <c r="S156" s="5" t="s">
        <v>21</v>
      </c>
      <c r="T156" s="5" t="s">
        <v>3083</v>
      </c>
      <c r="U156" s="5" t="s">
        <v>3084</v>
      </c>
      <c r="V156" s="5" t="s">
        <v>3085</v>
      </c>
      <c r="W156" s="5" t="s">
        <v>3086</v>
      </c>
      <c r="X156" s="5" t="s">
        <v>3087</v>
      </c>
      <c r="Y156" s="5" t="s">
        <v>3088</v>
      </c>
      <c r="Z156" s="5" t="s">
        <v>3089</v>
      </c>
      <c r="AA156" s="5" t="s">
        <v>3090</v>
      </c>
      <c r="AB156" s="5" t="s">
        <v>21</v>
      </c>
      <c r="AC156" s="5" t="s">
        <v>21</v>
      </c>
      <c r="AD156" s="5" t="s">
        <v>21</v>
      </c>
      <c r="AE156" s="5" t="s">
        <v>21</v>
      </c>
      <c r="AF156" s="5">
        <v>72</v>
      </c>
      <c r="AG156" s="5">
        <v>18</v>
      </c>
      <c r="AH156" s="5">
        <v>19</v>
      </c>
      <c r="AI156" s="5">
        <v>6</v>
      </c>
      <c r="AJ156" s="5">
        <v>57</v>
      </c>
      <c r="AK156" s="5" t="s">
        <v>684</v>
      </c>
      <c r="AL156" s="5" t="s">
        <v>685</v>
      </c>
      <c r="AM156" s="5" t="s">
        <v>686</v>
      </c>
      <c r="AN156" s="5" t="s">
        <v>778</v>
      </c>
      <c r="AO156" s="5" t="s">
        <v>779</v>
      </c>
      <c r="AP156" s="5" t="s">
        <v>21</v>
      </c>
      <c r="AQ156" s="5" t="s">
        <v>780</v>
      </c>
      <c r="AR156" s="5" t="s">
        <v>781</v>
      </c>
      <c r="AS156" s="5" t="s">
        <v>3091</v>
      </c>
      <c r="AT156" s="5">
        <v>2022</v>
      </c>
      <c r="AU156" s="5">
        <v>28</v>
      </c>
      <c r="AV156" s="5">
        <v>5</v>
      </c>
      <c r="AW156" s="5" t="s">
        <v>21</v>
      </c>
      <c r="AX156" s="5" t="s">
        <v>21</v>
      </c>
      <c r="AY156" s="5" t="s">
        <v>21</v>
      </c>
      <c r="AZ156" s="5" t="s">
        <v>21</v>
      </c>
      <c r="BA156" s="5">
        <v>2168</v>
      </c>
      <c r="BB156" s="5">
        <v>2178</v>
      </c>
      <c r="BC156" s="5" t="s">
        <v>21</v>
      </c>
      <c r="BD156" s="5" t="s">
        <v>3092</v>
      </c>
      <c r="BE156" s="5" t="str">
        <f>HYPERLINK("http://dx.doi.org/10.1109/TVCG.2022.3150489","http://dx.doi.org/10.1109/TVCG.2022.3150489")</f>
        <v>http://dx.doi.org/10.1109/TVCG.2022.3150489</v>
      </c>
      <c r="BF156" s="5" t="s">
        <v>21</v>
      </c>
      <c r="BG156" s="5" t="s">
        <v>21</v>
      </c>
      <c r="BH156" s="5">
        <v>11</v>
      </c>
      <c r="BI156" s="5" t="s">
        <v>784</v>
      </c>
      <c r="BJ156" s="5" t="s">
        <v>3093</v>
      </c>
      <c r="BK156" s="5" t="s">
        <v>715</v>
      </c>
      <c r="BL156" s="5" t="s">
        <v>3094</v>
      </c>
      <c r="BM156" s="5">
        <v>35171773</v>
      </c>
      <c r="BN156" s="5" t="s">
        <v>120</v>
      </c>
      <c r="BO156" s="5" t="s">
        <v>21</v>
      </c>
      <c r="BP156" s="5" t="s">
        <v>21</v>
      </c>
      <c r="BQ156" s="5" t="s">
        <v>49</v>
      </c>
      <c r="BR156" s="5" t="s">
        <v>3095</v>
      </c>
      <c r="BS156" s="5" t="str">
        <f>HYPERLINK("https%3A%2F%2Fwww.webofscience.com%2Fwos%2Fwoscc%2Ffull-record%2FWOS:000803110400030","View Full Record in Web of Science")</f>
        <v>View Full Record in Web of Science</v>
      </c>
    </row>
    <row r="157" spans="1:71" x14ac:dyDescent="0.25">
      <c r="A157" t="s">
        <v>19</v>
      </c>
      <c r="B157" s="5" t="s">
        <v>3096</v>
      </c>
      <c r="C157" s="5" t="s">
        <v>21</v>
      </c>
      <c r="D157" s="5" t="s">
        <v>21</v>
      </c>
      <c r="E157" s="5" t="s">
        <v>21</v>
      </c>
      <c r="F157" s="5" t="s">
        <v>3097</v>
      </c>
      <c r="G157" s="5" t="s">
        <v>21</v>
      </c>
      <c r="H157" s="5" t="s">
        <v>21</v>
      </c>
      <c r="I157" s="5" t="s">
        <v>3098</v>
      </c>
      <c r="J157" s="12" t="s">
        <v>3099</v>
      </c>
      <c r="K157" s="5" t="s">
        <v>21</v>
      </c>
      <c r="L157" s="5" t="s">
        <v>21</v>
      </c>
      <c r="M157" s="5" t="s">
        <v>25</v>
      </c>
      <c r="N157" s="5" t="s">
        <v>26</v>
      </c>
      <c r="O157" s="5" t="s">
        <v>21</v>
      </c>
      <c r="P157" s="5" t="s">
        <v>21</v>
      </c>
      <c r="Q157" s="5" t="s">
        <v>21</v>
      </c>
      <c r="R157" s="5" t="s">
        <v>21</v>
      </c>
      <c r="S157" s="5" t="s">
        <v>21</v>
      </c>
      <c r="T157" s="5" t="s">
        <v>3100</v>
      </c>
      <c r="U157" s="5" t="s">
        <v>3101</v>
      </c>
      <c r="V157" s="5" t="s">
        <v>3102</v>
      </c>
      <c r="W157" s="5" t="s">
        <v>3103</v>
      </c>
      <c r="X157" s="5" t="s">
        <v>2375</v>
      </c>
      <c r="Y157" s="5" t="s">
        <v>3104</v>
      </c>
      <c r="Z157" s="5" t="s">
        <v>3105</v>
      </c>
      <c r="AA157" s="5" t="s">
        <v>3106</v>
      </c>
      <c r="AB157" s="5" t="s">
        <v>3107</v>
      </c>
      <c r="AC157" s="5" t="s">
        <v>3108</v>
      </c>
      <c r="AD157" s="5" t="s">
        <v>3109</v>
      </c>
      <c r="AE157" s="5" t="s">
        <v>3110</v>
      </c>
      <c r="AF157" s="5">
        <v>91</v>
      </c>
      <c r="AG157" s="5">
        <v>18</v>
      </c>
      <c r="AH157" s="5">
        <v>18</v>
      </c>
      <c r="AI157" s="5">
        <v>2</v>
      </c>
      <c r="AJ157" s="5">
        <v>21</v>
      </c>
      <c r="AK157" s="5" t="s">
        <v>3111</v>
      </c>
      <c r="AL157" s="5" t="s">
        <v>36</v>
      </c>
      <c r="AM157" s="5" t="s">
        <v>3112</v>
      </c>
      <c r="AN157" s="5" t="s">
        <v>3113</v>
      </c>
      <c r="AO157" s="5" t="s">
        <v>3114</v>
      </c>
      <c r="AP157" s="5" t="s">
        <v>21</v>
      </c>
      <c r="AQ157" s="5" t="s">
        <v>3115</v>
      </c>
      <c r="AR157" s="5" t="s">
        <v>3116</v>
      </c>
      <c r="AS157" s="5" t="s">
        <v>176</v>
      </c>
      <c r="AT157" s="5">
        <v>2022</v>
      </c>
      <c r="AU157" s="5">
        <v>15</v>
      </c>
      <c r="AV157" s="5">
        <v>1</v>
      </c>
      <c r="AW157" s="5" t="s">
        <v>21</v>
      </c>
      <c r="AX157" s="5" t="s">
        <v>21</v>
      </c>
      <c r="AY157" s="5" t="s">
        <v>21</v>
      </c>
      <c r="AZ157" s="5" t="s">
        <v>21</v>
      </c>
      <c r="BA157" s="5" t="s">
        <v>21</v>
      </c>
      <c r="BB157" s="5" t="s">
        <v>21</v>
      </c>
      <c r="BC157" s="5">
        <v>2</v>
      </c>
      <c r="BD157" s="5" t="s">
        <v>3117</v>
      </c>
      <c r="BE157" s="5" t="str">
        <f>HYPERLINK("http://dx.doi.org/10.1145/3505560","http://dx.doi.org/10.1145/3505560")</f>
        <v>http://dx.doi.org/10.1145/3505560</v>
      </c>
      <c r="BF157" s="5" t="s">
        <v>21</v>
      </c>
      <c r="BG157" s="5" t="s">
        <v>21</v>
      </c>
      <c r="BH157" s="5">
        <v>28</v>
      </c>
      <c r="BI157" s="5" t="s">
        <v>3118</v>
      </c>
      <c r="BJ157" s="5" t="s">
        <v>1907</v>
      </c>
      <c r="BK157" s="5" t="s">
        <v>715</v>
      </c>
      <c r="BL157" s="5" t="s">
        <v>3119</v>
      </c>
      <c r="BM157" s="5" t="s">
        <v>21</v>
      </c>
      <c r="BN157" s="5" t="s">
        <v>21</v>
      </c>
      <c r="BO157" s="5" t="s">
        <v>21</v>
      </c>
      <c r="BP157" s="5" t="s">
        <v>21</v>
      </c>
      <c r="BQ157" s="5" t="s">
        <v>49</v>
      </c>
      <c r="BR157" s="5" t="s">
        <v>3120</v>
      </c>
      <c r="BS157" s="5" t="str">
        <f>HYPERLINK("https%3A%2F%2Fwww.webofscience.com%2Fwos%2Fwoscc%2Ffull-record%2FWOS:000772259300003","View Full Record in Web of Science")</f>
        <v>View Full Record in Web of Science</v>
      </c>
    </row>
    <row r="158" spans="1:71" x14ac:dyDescent="0.25">
      <c r="A158" t="s">
        <v>19</v>
      </c>
      <c r="B158" s="5" t="s">
        <v>3121</v>
      </c>
      <c r="C158" s="5" t="s">
        <v>21</v>
      </c>
      <c r="D158" s="5" t="s">
        <v>21</v>
      </c>
      <c r="E158" s="5" t="s">
        <v>21</v>
      </c>
      <c r="F158" s="5" t="s">
        <v>3122</v>
      </c>
      <c r="G158" s="5" t="s">
        <v>21</v>
      </c>
      <c r="H158" s="5" t="s">
        <v>21</v>
      </c>
      <c r="I158" s="5" t="s">
        <v>3123</v>
      </c>
      <c r="J158" s="12" t="s">
        <v>3124</v>
      </c>
      <c r="K158" s="5" t="s">
        <v>21</v>
      </c>
      <c r="L158" s="5" t="s">
        <v>21</v>
      </c>
      <c r="M158" s="5" t="s">
        <v>25</v>
      </c>
      <c r="N158" s="5" t="s">
        <v>26</v>
      </c>
      <c r="O158" s="5" t="s">
        <v>21</v>
      </c>
      <c r="P158" s="5" t="s">
        <v>21</v>
      </c>
      <c r="Q158" s="5" t="s">
        <v>21</v>
      </c>
      <c r="R158" s="5" t="s">
        <v>21</v>
      </c>
      <c r="S158" s="5" t="s">
        <v>21</v>
      </c>
      <c r="T158" s="5" t="s">
        <v>3125</v>
      </c>
      <c r="U158" s="5" t="s">
        <v>3126</v>
      </c>
      <c r="V158" s="5" t="s">
        <v>3127</v>
      </c>
      <c r="W158" s="5" t="s">
        <v>3128</v>
      </c>
      <c r="X158" s="5" t="s">
        <v>3129</v>
      </c>
      <c r="Y158" s="5" t="s">
        <v>3130</v>
      </c>
      <c r="Z158" s="5" t="s">
        <v>2180</v>
      </c>
      <c r="AA158" s="5" t="s">
        <v>21</v>
      </c>
      <c r="AB158" s="5" t="s">
        <v>21</v>
      </c>
      <c r="AC158" s="5" t="s">
        <v>21</v>
      </c>
      <c r="AD158" s="5" t="s">
        <v>21</v>
      </c>
      <c r="AE158" s="5" t="s">
        <v>21</v>
      </c>
      <c r="AF158" s="5">
        <v>39</v>
      </c>
      <c r="AG158" s="5">
        <v>18</v>
      </c>
      <c r="AH158" s="5">
        <v>18</v>
      </c>
      <c r="AI158" s="5">
        <v>2</v>
      </c>
      <c r="AJ158" s="5">
        <v>14</v>
      </c>
      <c r="AK158" s="5" t="s">
        <v>3131</v>
      </c>
      <c r="AL158" s="5" t="s">
        <v>3132</v>
      </c>
      <c r="AM158" s="5" t="s">
        <v>3133</v>
      </c>
      <c r="AN158" s="5" t="s">
        <v>3134</v>
      </c>
      <c r="AO158" s="5" t="s">
        <v>3135</v>
      </c>
      <c r="AP158" s="5" t="s">
        <v>21</v>
      </c>
      <c r="AQ158" s="5" t="s">
        <v>3136</v>
      </c>
      <c r="AR158" s="5" t="s">
        <v>3137</v>
      </c>
      <c r="AS158" s="5" t="s">
        <v>21</v>
      </c>
      <c r="AT158" s="5">
        <v>2022</v>
      </c>
      <c r="AU158" s="5" t="s">
        <v>21</v>
      </c>
      <c r="AV158" s="5">
        <v>45</v>
      </c>
      <c r="AW158" s="5" t="s">
        <v>21</v>
      </c>
      <c r="AX158" s="5" t="s">
        <v>21</v>
      </c>
      <c r="AY158" s="5" t="s">
        <v>21</v>
      </c>
      <c r="AZ158" s="5" t="s">
        <v>21</v>
      </c>
      <c r="BA158" s="5">
        <v>779</v>
      </c>
      <c r="BB158" s="5">
        <v>785</v>
      </c>
      <c r="BC158" s="5" t="s">
        <v>21</v>
      </c>
      <c r="BD158" s="5" t="s">
        <v>21</v>
      </c>
      <c r="BE158" s="5" t="s">
        <v>21</v>
      </c>
      <c r="BF158" s="5" t="s">
        <v>21</v>
      </c>
      <c r="BG158" s="5" t="s">
        <v>21</v>
      </c>
      <c r="BH158" s="5">
        <v>7</v>
      </c>
      <c r="BI158" s="5" t="s">
        <v>3138</v>
      </c>
      <c r="BJ158" s="5" t="s">
        <v>1907</v>
      </c>
      <c r="BK158" s="5" t="s">
        <v>2900</v>
      </c>
      <c r="BL158" s="5" t="s">
        <v>3139</v>
      </c>
      <c r="BM158" s="5" t="s">
        <v>21</v>
      </c>
      <c r="BN158" s="5" t="s">
        <v>21</v>
      </c>
      <c r="BO158" s="5" t="s">
        <v>21</v>
      </c>
      <c r="BP158" s="5" t="s">
        <v>21</v>
      </c>
      <c r="BQ158" s="5" t="s">
        <v>49</v>
      </c>
      <c r="BR158" s="5" t="s">
        <v>3140</v>
      </c>
      <c r="BS158" s="5" t="str">
        <f>HYPERLINK("https%3A%2F%2Fwww.webofscience.com%2Fwos%2Fwoscc%2Ffull-record%2FWOS:000797326300001","View Full Record in Web of Science")</f>
        <v>View Full Record in Web of Science</v>
      </c>
    </row>
    <row r="159" spans="1:71" x14ac:dyDescent="0.25">
      <c r="A159" t="s">
        <v>19</v>
      </c>
      <c r="B159" s="5" t="s">
        <v>2918</v>
      </c>
      <c r="C159" s="5" t="s">
        <v>21</v>
      </c>
      <c r="D159" s="5" t="s">
        <v>21</v>
      </c>
      <c r="E159" s="5" t="s">
        <v>21</v>
      </c>
      <c r="F159" s="5" t="s">
        <v>3141</v>
      </c>
      <c r="G159" s="5" t="s">
        <v>21</v>
      </c>
      <c r="H159" s="5" t="s">
        <v>21</v>
      </c>
      <c r="I159" s="5" t="s">
        <v>3142</v>
      </c>
      <c r="J159" s="12" t="s">
        <v>674</v>
      </c>
      <c r="K159" s="5" t="s">
        <v>21</v>
      </c>
      <c r="L159" s="5" t="s">
        <v>21</v>
      </c>
      <c r="M159" s="5" t="s">
        <v>25</v>
      </c>
      <c r="N159" s="5" t="s">
        <v>26</v>
      </c>
      <c r="O159" s="5" t="s">
        <v>21</v>
      </c>
      <c r="P159" s="5" t="s">
        <v>21</v>
      </c>
      <c r="Q159" s="5" t="s">
        <v>21</v>
      </c>
      <c r="R159" s="5" t="s">
        <v>21</v>
      </c>
      <c r="S159" s="5" t="s">
        <v>21</v>
      </c>
      <c r="T159" s="5" t="s">
        <v>3143</v>
      </c>
      <c r="U159" s="5" t="s">
        <v>3144</v>
      </c>
      <c r="V159" s="5" t="s">
        <v>3145</v>
      </c>
      <c r="W159" s="5" t="s">
        <v>3146</v>
      </c>
      <c r="X159" s="5" t="s">
        <v>2925</v>
      </c>
      <c r="Y159" s="5" t="s">
        <v>3147</v>
      </c>
      <c r="Z159" s="5" t="s">
        <v>3148</v>
      </c>
      <c r="AA159" s="5" t="s">
        <v>2928</v>
      </c>
      <c r="AB159" s="5" t="s">
        <v>3149</v>
      </c>
      <c r="AC159" s="5" t="s">
        <v>3150</v>
      </c>
      <c r="AD159" s="5" t="s">
        <v>3150</v>
      </c>
      <c r="AE159" s="5" t="s">
        <v>3151</v>
      </c>
      <c r="AF159" s="5">
        <v>48</v>
      </c>
      <c r="AG159" s="5">
        <v>18</v>
      </c>
      <c r="AH159" s="5">
        <v>18</v>
      </c>
      <c r="AI159" s="5">
        <v>10</v>
      </c>
      <c r="AJ159" s="5">
        <v>118</v>
      </c>
      <c r="AK159" s="5" t="s">
        <v>684</v>
      </c>
      <c r="AL159" s="5" t="s">
        <v>685</v>
      </c>
      <c r="AM159" s="5" t="s">
        <v>686</v>
      </c>
      <c r="AN159" s="5" t="s">
        <v>687</v>
      </c>
      <c r="AO159" s="5" t="s">
        <v>21</v>
      </c>
      <c r="AP159" s="5" t="s">
        <v>21</v>
      </c>
      <c r="AQ159" s="5" t="s">
        <v>688</v>
      </c>
      <c r="AR159" s="5" t="s">
        <v>689</v>
      </c>
      <c r="AS159" s="5" t="s">
        <v>431</v>
      </c>
      <c r="AT159" s="5">
        <v>2020</v>
      </c>
      <c r="AU159" s="5">
        <v>13</v>
      </c>
      <c r="AV159" s="5">
        <v>1</v>
      </c>
      <c r="AW159" s="5" t="s">
        <v>21</v>
      </c>
      <c r="AX159" s="5" t="s">
        <v>21</v>
      </c>
      <c r="AY159" s="5" t="s">
        <v>21</v>
      </c>
      <c r="AZ159" s="5" t="s">
        <v>21</v>
      </c>
      <c r="BA159" s="5">
        <v>198</v>
      </c>
      <c r="BB159" s="5">
        <v>210</v>
      </c>
      <c r="BC159" s="5" t="s">
        <v>21</v>
      </c>
      <c r="BD159" s="5" t="s">
        <v>3152</v>
      </c>
      <c r="BE159" s="5" t="str">
        <f>HYPERLINK("http://dx.doi.org/10.1109/TLT.2019.2912371","http://dx.doi.org/10.1109/TLT.2019.2912371")</f>
        <v>http://dx.doi.org/10.1109/TLT.2019.2912371</v>
      </c>
      <c r="BF159" s="5" t="s">
        <v>21</v>
      </c>
      <c r="BG159" s="5" t="s">
        <v>21</v>
      </c>
      <c r="BH159" s="5">
        <v>13</v>
      </c>
      <c r="BI159" s="5" t="s">
        <v>292</v>
      </c>
      <c r="BJ159" s="5" t="s">
        <v>92</v>
      </c>
      <c r="BK159" s="5" t="s">
        <v>293</v>
      </c>
      <c r="BL159" s="5" t="s">
        <v>3153</v>
      </c>
      <c r="BM159" s="5" t="s">
        <v>21</v>
      </c>
      <c r="BN159" s="5" t="s">
        <v>21</v>
      </c>
      <c r="BO159" s="5" t="s">
        <v>21</v>
      </c>
      <c r="BP159" s="5" t="s">
        <v>21</v>
      </c>
      <c r="BQ159" s="5" t="s">
        <v>49</v>
      </c>
      <c r="BR159" s="5" t="s">
        <v>3154</v>
      </c>
      <c r="BS159" s="5" t="str">
        <f>HYPERLINK("https%3A%2F%2Fwww.webofscience.com%2Fwos%2Fwoscc%2Ffull-record%2FWOS:000522219600016","View Full Record in Web of Science")</f>
        <v>View Full Record in Web of Science</v>
      </c>
    </row>
    <row r="160" spans="1:71" x14ac:dyDescent="0.25">
      <c r="A160" t="s">
        <v>19</v>
      </c>
      <c r="B160" s="5" t="s">
        <v>2146</v>
      </c>
      <c r="C160" s="5" t="s">
        <v>21</v>
      </c>
      <c r="D160" s="5" t="s">
        <v>21</v>
      </c>
      <c r="E160" s="5" t="s">
        <v>21</v>
      </c>
      <c r="F160" s="5" t="s">
        <v>2147</v>
      </c>
      <c r="G160" s="5" t="s">
        <v>21</v>
      </c>
      <c r="H160" s="5" t="s">
        <v>21</v>
      </c>
      <c r="I160" s="5" t="s">
        <v>3155</v>
      </c>
      <c r="J160" s="12" t="s">
        <v>2149</v>
      </c>
      <c r="K160" s="5" t="s">
        <v>21</v>
      </c>
      <c r="L160" s="5" t="s">
        <v>21</v>
      </c>
      <c r="M160" s="5" t="s">
        <v>25</v>
      </c>
      <c r="N160" s="5" t="s">
        <v>26</v>
      </c>
      <c r="O160" s="5" t="s">
        <v>21</v>
      </c>
      <c r="P160" s="5" t="s">
        <v>21</v>
      </c>
      <c r="Q160" s="5" t="s">
        <v>21</v>
      </c>
      <c r="R160" s="5" t="s">
        <v>21</v>
      </c>
      <c r="S160" s="5" t="s">
        <v>21</v>
      </c>
      <c r="T160" s="5" t="s">
        <v>3156</v>
      </c>
      <c r="U160" s="5" t="s">
        <v>3157</v>
      </c>
      <c r="V160" s="5" t="s">
        <v>3158</v>
      </c>
      <c r="W160" s="5" t="s">
        <v>3159</v>
      </c>
      <c r="X160" s="5" t="s">
        <v>2154</v>
      </c>
      <c r="Y160" s="5" t="s">
        <v>3160</v>
      </c>
      <c r="Z160" s="5" t="s">
        <v>3161</v>
      </c>
      <c r="AA160" s="5" t="s">
        <v>21</v>
      </c>
      <c r="AB160" s="5" t="s">
        <v>3162</v>
      </c>
      <c r="AC160" s="5" t="s">
        <v>3163</v>
      </c>
      <c r="AD160" s="5" t="s">
        <v>3164</v>
      </c>
      <c r="AE160" s="5" t="s">
        <v>2160</v>
      </c>
      <c r="AF160" s="5">
        <v>73</v>
      </c>
      <c r="AG160" s="5">
        <v>17</v>
      </c>
      <c r="AH160" s="5">
        <v>17</v>
      </c>
      <c r="AI160" s="5">
        <v>4</v>
      </c>
      <c r="AJ160" s="5">
        <v>42</v>
      </c>
      <c r="AK160" s="5" t="s">
        <v>193</v>
      </c>
      <c r="AL160" s="5" t="s">
        <v>194</v>
      </c>
      <c r="AM160" s="5" t="s">
        <v>195</v>
      </c>
      <c r="AN160" s="5" t="s">
        <v>21</v>
      </c>
      <c r="AO160" s="5" t="s">
        <v>2161</v>
      </c>
      <c r="AP160" s="5" t="s">
        <v>21</v>
      </c>
      <c r="AQ160" s="5" t="s">
        <v>2162</v>
      </c>
      <c r="AR160" s="5" t="s">
        <v>2163</v>
      </c>
      <c r="AS160" s="5" t="s">
        <v>3165</v>
      </c>
      <c r="AT160" s="5">
        <v>2019</v>
      </c>
      <c r="AU160" s="5">
        <v>9</v>
      </c>
      <c r="AV160" s="5">
        <v>15</v>
      </c>
      <c r="AW160" s="5" t="s">
        <v>21</v>
      </c>
      <c r="AX160" s="5" t="s">
        <v>21</v>
      </c>
      <c r="AY160" s="5" t="s">
        <v>21</v>
      </c>
      <c r="AZ160" s="5" t="s">
        <v>21</v>
      </c>
      <c r="BA160" s="5" t="s">
        <v>21</v>
      </c>
      <c r="BB160" s="5" t="s">
        <v>21</v>
      </c>
      <c r="BC160" s="5">
        <v>3152</v>
      </c>
      <c r="BD160" s="5" t="s">
        <v>3166</v>
      </c>
      <c r="BE160" s="5" t="str">
        <f>HYPERLINK("http://dx.doi.org/10.3390/app9153152","http://dx.doi.org/10.3390/app9153152")</f>
        <v>http://dx.doi.org/10.3390/app9153152</v>
      </c>
      <c r="BF160" s="5" t="s">
        <v>21</v>
      </c>
      <c r="BG160" s="5" t="s">
        <v>21</v>
      </c>
      <c r="BH160" s="5">
        <v>19</v>
      </c>
      <c r="BI160" s="5" t="s">
        <v>2165</v>
      </c>
      <c r="BJ160" s="5" t="s">
        <v>92</v>
      </c>
      <c r="BK160" s="5" t="s">
        <v>2166</v>
      </c>
      <c r="BL160" s="5" t="s">
        <v>3167</v>
      </c>
      <c r="BM160" s="5" t="s">
        <v>21</v>
      </c>
      <c r="BN160" s="5" t="s">
        <v>2168</v>
      </c>
      <c r="BO160" s="5" t="s">
        <v>21</v>
      </c>
      <c r="BP160" s="5" t="s">
        <v>21</v>
      </c>
      <c r="BQ160" s="5" t="s">
        <v>49</v>
      </c>
      <c r="BR160" s="5" t="s">
        <v>3168</v>
      </c>
      <c r="BS160" s="5" t="str">
        <f>HYPERLINK("https%3A%2F%2Fwww.webofscience.com%2Fwos%2Fwoscc%2Ffull-record%2FWOS:000482134500207","View Full Record in Web of Science")</f>
        <v>View Full Record in Web of Science</v>
      </c>
    </row>
    <row r="161" spans="1:71" x14ac:dyDescent="0.25">
      <c r="A161" t="s">
        <v>19</v>
      </c>
      <c r="B161" s="5" t="s">
        <v>3169</v>
      </c>
      <c r="C161" s="5" t="s">
        <v>21</v>
      </c>
      <c r="D161" s="5" t="s">
        <v>21</v>
      </c>
      <c r="E161" s="5" t="s">
        <v>21</v>
      </c>
      <c r="F161" s="5" t="s">
        <v>3170</v>
      </c>
      <c r="G161" s="5" t="s">
        <v>21</v>
      </c>
      <c r="H161" s="5" t="s">
        <v>21</v>
      </c>
      <c r="I161" s="5" t="s">
        <v>3171</v>
      </c>
      <c r="J161" s="12" t="s">
        <v>1279</v>
      </c>
      <c r="K161" s="5" t="s">
        <v>21</v>
      </c>
      <c r="L161" s="5" t="s">
        <v>21</v>
      </c>
      <c r="M161" s="5" t="s">
        <v>25</v>
      </c>
      <c r="N161" s="5" t="s">
        <v>26</v>
      </c>
      <c r="O161" s="5" t="s">
        <v>21</v>
      </c>
      <c r="P161" s="5" t="s">
        <v>21</v>
      </c>
      <c r="Q161" s="5" t="s">
        <v>21</v>
      </c>
      <c r="R161" s="5" t="s">
        <v>21</v>
      </c>
      <c r="S161" s="5" t="s">
        <v>21</v>
      </c>
      <c r="T161" s="5" t="s">
        <v>3172</v>
      </c>
      <c r="U161" s="5" t="s">
        <v>3173</v>
      </c>
      <c r="V161" s="5" t="s">
        <v>3174</v>
      </c>
      <c r="W161" s="5" t="s">
        <v>3175</v>
      </c>
      <c r="X161" s="5" t="s">
        <v>3176</v>
      </c>
      <c r="Y161" s="5" t="s">
        <v>3177</v>
      </c>
      <c r="Z161" s="5" t="s">
        <v>3178</v>
      </c>
      <c r="AA161" s="5" t="s">
        <v>21</v>
      </c>
      <c r="AB161" s="5" t="s">
        <v>3179</v>
      </c>
      <c r="AC161" s="5" t="s">
        <v>3180</v>
      </c>
      <c r="AD161" s="5" t="s">
        <v>3181</v>
      </c>
      <c r="AE161" s="5" t="s">
        <v>3182</v>
      </c>
      <c r="AF161" s="5">
        <v>55</v>
      </c>
      <c r="AG161" s="5">
        <v>17</v>
      </c>
      <c r="AH161" s="5">
        <v>18</v>
      </c>
      <c r="AI161" s="5">
        <v>0</v>
      </c>
      <c r="AJ161" s="5">
        <v>36</v>
      </c>
      <c r="AK161" s="5" t="s">
        <v>1292</v>
      </c>
      <c r="AL161" s="5" t="s">
        <v>252</v>
      </c>
      <c r="AM161" s="5" t="s">
        <v>1293</v>
      </c>
      <c r="AN161" s="5" t="s">
        <v>1294</v>
      </c>
      <c r="AO161" s="5" t="s">
        <v>1295</v>
      </c>
      <c r="AP161" s="5" t="s">
        <v>21</v>
      </c>
      <c r="AQ161" s="5" t="s">
        <v>1296</v>
      </c>
      <c r="AR161" s="5" t="s">
        <v>1297</v>
      </c>
      <c r="AS161" s="5" t="s">
        <v>334</v>
      </c>
      <c r="AT161" s="5">
        <v>2018</v>
      </c>
      <c r="AU161" s="5">
        <v>11</v>
      </c>
      <c r="AV161" s="5">
        <v>2</v>
      </c>
      <c r="AW161" s="5" t="s">
        <v>21</v>
      </c>
      <c r="AX161" s="5" t="s">
        <v>21</v>
      </c>
      <c r="AY161" s="5" t="s">
        <v>21</v>
      </c>
      <c r="AZ161" s="5" t="s">
        <v>21</v>
      </c>
      <c r="BA161" s="5">
        <v>305</v>
      </c>
      <c r="BB161" s="5">
        <v>317</v>
      </c>
      <c r="BC161" s="5" t="s">
        <v>21</v>
      </c>
      <c r="BD161" s="5" t="s">
        <v>3183</v>
      </c>
      <c r="BE161" s="5" t="str">
        <f>HYPERLINK("http://dx.doi.org/10.1002/aur.1889","http://dx.doi.org/10.1002/aur.1889")</f>
        <v>http://dx.doi.org/10.1002/aur.1889</v>
      </c>
      <c r="BF161" s="5" t="s">
        <v>21</v>
      </c>
      <c r="BG161" s="5" t="s">
        <v>21</v>
      </c>
      <c r="BH161" s="5">
        <v>13</v>
      </c>
      <c r="BI161" s="5" t="s">
        <v>1299</v>
      </c>
      <c r="BJ161" s="5" t="s">
        <v>92</v>
      </c>
      <c r="BK161" s="5" t="s">
        <v>1300</v>
      </c>
      <c r="BL161" s="5" t="s">
        <v>3184</v>
      </c>
      <c r="BM161" s="5">
        <v>29125691</v>
      </c>
      <c r="BN161" s="5" t="s">
        <v>21</v>
      </c>
      <c r="BO161" s="5" t="s">
        <v>21</v>
      </c>
      <c r="BP161" s="5" t="s">
        <v>21</v>
      </c>
      <c r="BQ161" s="5" t="s">
        <v>49</v>
      </c>
      <c r="BR161" s="5" t="s">
        <v>3185</v>
      </c>
      <c r="BS161" s="5" t="str">
        <f>HYPERLINK("https%3A%2F%2Fwww.webofscience.com%2Fwos%2Fwoscc%2Ffull-record%2FWOS:000426057500009","View Full Record in Web of Science")</f>
        <v>View Full Record in Web of Science</v>
      </c>
    </row>
    <row r="162" spans="1:71" x14ac:dyDescent="0.25">
      <c r="A162" t="s">
        <v>19</v>
      </c>
      <c r="B162" s="5" t="s">
        <v>3186</v>
      </c>
      <c r="C162" s="5" t="s">
        <v>21</v>
      </c>
      <c r="D162" s="5" t="s">
        <v>21</v>
      </c>
      <c r="E162" s="5" t="s">
        <v>21</v>
      </c>
      <c r="F162" s="5" t="s">
        <v>3187</v>
      </c>
      <c r="G162" s="5" t="s">
        <v>21</v>
      </c>
      <c r="H162" s="5" t="s">
        <v>21</v>
      </c>
      <c r="I162" s="5" t="s">
        <v>3188</v>
      </c>
      <c r="J162" s="12" t="s">
        <v>575</v>
      </c>
      <c r="K162" s="5" t="s">
        <v>21</v>
      </c>
      <c r="L162" s="5" t="s">
        <v>21</v>
      </c>
      <c r="M162" s="5" t="s">
        <v>25</v>
      </c>
      <c r="N162" s="5" t="s">
        <v>26</v>
      </c>
      <c r="O162" s="5" t="s">
        <v>21</v>
      </c>
      <c r="P162" s="5" t="s">
        <v>21</v>
      </c>
      <c r="Q162" s="5" t="s">
        <v>21</v>
      </c>
      <c r="R162" s="5" t="s">
        <v>21</v>
      </c>
      <c r="S162" s="5" t="s">
        <v>21</v>
      </c>
      <c r="T162" s="5" t="s">
        <v>3189</v>
      </c>
      <c r="U162" s="5" t="s">
        <v>3190</v>
      </c>
      <c r="V162" s="5" t="s">
        <v>3191</v>
      </c>
      <c r="W162" s="5" t="s">
        <v>3192</v>
      </c>
      <c r="X162" s="5" t="s">
        <v>3193</v>
      </c>
      <c r="Y162" s="5" t="s">
        <v>3194</v>
      </c>
      <c r="Z162" s="5" t="s">
        <v>3195</v>
      </c>
      <c r="AA162" s="5" t="s">
        <v>3196</v>
      </c>
      <c r="AB162" s="5" t="s">
        <v>3197</v>
      </c>
      <c r="AC162" s="5" t="s">
        <v>21</v>
      </c>
      <c r="AD162" s="5" t="s">
        <v>21</v>
      </c>
      <c r="AE162" s="5" t="s">
        <v>21</v>
      </c>
      <c r="AF162" s="5">
        <v>40</v>
      </c>
      <c r="AG162" s="5">
        <v>17</v>
      </c>
      <c r="AH162" s="5">
        <v>19</v>
      </c>
      <c r="AI162" s="5">
        <v>4</v>
      </c>
      <c r="AJ162" s="5">
        <v>45</v>
      </c>
      <c r="AK162" s="5" t="s">
        <v>584</v>
      </c>
      <c r="AL162" s="5" t="s">
        <v>585</v>
      </c>
      <c r="AM162" s="5" t="s">
        <v>586</v>
      </c>
      <c r="AN162" s="5" t="s">
        <v>587</v>
      </c>
      <c r="AO162" s="5" t="s">
        <v>588</v>
      </c>
      <c r="AP162" s="5" t="s">
        <v>21</v>
      </c>
      <c r="AQ162" s="5" t="s">
        <v>589</v>
      </c>
      <c r="AR162" s="5" t="s">
        <v>590</v>
      </c>
      <c r="AS162" s="5" t="s">
        <v>21</v>
      </c>
      <c r="AT162" s="5">
        <v>2018</v>
      </c>
      <c r="AU162" s="5">
        <v>21</v>
      </c>
      <c r="AV162" s="5">
        <v>3</v>
      </c>
      <c r="AW162" s="5" t="s">
        <v>21</v>
      </c>
      <c r="AX162" s="5" t="s">
        <v>21</v>
      </c>
      <c r="AY162" s="5" t="s">
        <v>501</v>
      </c>
      <c r="AZ162" s="5" t="s">
        <v>21</v>
      </c>
      <c r="BA162" s="5">
        <v>197</v>
      </c>
      <c r="BB162" s="5">
        <v>201</v>
      </c>
      <c r="BC162" s="5" t="s">
        <v>21</v>
      </c>
      <c r="BD162" s="5" t="s">
        <v>3198</v>
      </c>
      <c r="BE162" s="5" t="str">
        <f>HYPERLINK("http://dx.doi.org/10.1080/17518423.2018.1432713","http://dx.doi.org/10.1080/17518423.2018.1432713")</f>
        <v>http://dx.doi.org/10.1080/17518423.2018.1432713</v>
      </c>
      <c r="BF162" s="5" t="s">
        <v>21</v>
      </c>
      <c r="BG162" s="5" t="s">
        <v>21</v>
      </c>
      <c r="BH162" s="5">
        <v>5</v>
      </c>
      <c r="BI162" s="5" t="s">
        <v>592</v>
      </c>
      <c r="BJ162" s="5" t="s">
        <v>92</v>
      </c>
      <c r="BK162" s="5" t="s">
        <v>593</v>
      </c>
      <c r="BL162" s="5" t="s">
        <v>3199</v>
      </c>
      <c r="BM162" s="5">
        <v>29400605</v>
      </c>
      <c r="BN162" s="5" t="s">
        <v>21</v>
      </c>
      <c r="BO162" s="5" t="s">
        <v>21</v>
      </c>
      <c r="BP162" s="5" t="s">
        <v>21</v>
      </c>
      <c r="BQ162" s="5" t="s">
        <v>49</v>
      </c>
      <c r="BR162" s="5" t="s">
        <v>3200</v>
      </c>
      <c r="BS162" s="5" t="str">
        <f>HYPERLINK("https%3A%2F%2Fwww.webofscience.com%2Fwos%2Fwoscc%2Ffull-record%2FWOS:000427274000006","View Full Record in Web of Science")</f>
        <v>View Full Record in Web of Science</v>
      </c>
    </row>
    <row r="163" spans="1:71" x14ac:dyDescent="0.25">
      <c r="A163" t="s">
        <v>19</v>
      </c>
      <c r="B163" s="5" t="s">
        <v>3201</v>
      </c>
      <c r="C163" s="5" t="s">
        <v>21</v>
      </c>
      <c r="D163" s="5" t="s">
        <v>21</v>
      </c>
      <c r="E163" s="5" t="s">
        <v>21</v>
      </c>
      <c r="F163" s="5" t="s">
        <v>3202</v>
      </c>
      <c r="G163" s="5" t="s">
        <v>21</v>
      </c>
      <c r="H163" s="5" t="s">
        <v>21</v>
      </c>
      <c r="I163" s="5" t="s">
        <v>3203</v>
      </c>
      <c r="J163" s="12" t="s">
        <v>3204</v>
      </c>
      <c r="K163" s="5" t="s">
        <v>21</v>
      </c>
      <c r="L163" s="5" t="s">
        <v>21</v>
      </c>
      <c r="M163" s="5" t="s">
        <v>25</v>
      </c>
      <c r="N163" s="5" t="s">
        <v>76</v>
      </c>
      <c r="O163" s="5" t="s">
        <v>21</v>
      </c>
      <c r="P163" s="5" t="s">
        <v>21</v>
      </c>
      <c r="Q163" s="5" t="s">
        <v>21</v>
      </c>
      <c r="R163" s="5" t="s">
        <v>21</v>
      </c>
      <c r="S163" s="5" t="s">
        <v>21</v>
      </c>
      <c r="T163" s="5" t="s">
        <v>3205</v>
      </c>
      <c r="U163" s="5" t="s">
        <v>3206</v>
      </c>
      <c r="V163" s="5" t="s">
        <v>3207</v>
      </c>
      <c r="W163" s="5" t="s">
        <v>3208</v>
      </c>
      <c r="X163" s="5" t="s">
        <v>3209</v>
      </c>
      <c r="Y163" s="5" t="s">
        <v>3210</v>
      </c>
      <c r="Z163" s="5" t="s">
        <v>3211</v>
      </c>
      <c r="AA163" s="5" t="s">
        <v>21</v>
      </c>
      <c r="AB163" s="5" t="s">
        <v>3212</v>
      </c>
      <c r="AC163" s="5" t="s">
        <v>3213</v>
      </c>
      <c r="AD163" s="5" t="s">
        <v>3213</v>
      </c>
      <c r="AE163" s="5" t="s">
        <v>3214</v>
      </c>
      <c r="AF163" s="5">
        <v>60</v>
      </c>
      <c r="AG163" s="5">
        <v>16</v>
      </c>
      <c r="AH163" s="5">
        <v>16</v>
      </c>
      <c r="AI163" s="5">
        <v>2</v>
      </c>
      <c r="AJ163" s="5">
        <v>26</v>
      </c>
      <c r="AK163" s="5" t="s">
        <v>3215</v>
      </c>
      <c r="AL163" s="5" t="s">
        <v>64</v>
      </c>
      <c r="AM163" s="5" t="s">
        <v>3216</v>
      </c>
      <c r="AN163" s="5" t="s">
        <v>3217</v>
      </c>
      <c r="AO163" s="5" t="s">
        <v>3218</v>
      </c>
      <c r="AP163" s="5" t="s">
        <v>21</v>
      </c>
      <c r="AQ163" s="5" t="s">
        <v>3219</v>
      </c>
      <c r="AR163" s="5" t="s">
        <v>3220</v>
      </c>
      <c r="AS163" s="5" t="s">
        <v>116</v>
      </c>
      <c r="AT163" s="5">
        <v>2023</v>
      </c>
      <c r="AU163" s="5">
        <v>7</v>
      </c>
      <c r="AV163" s="5">
        <v>3</v>
      </c>
      <c r="AW163" s="5" t="s">
        <v>21</v>
      </c>
      <c r="AX163" s="5" t="s">
        <v>21</v>
      </c>
      <c r="AY163" s="5" t="s">
        <v>501</v>
      </c>
      <c r="AZ163" s="5" t="s">
        <v>21</v>
      </c>
      <c r="BA163" s="5">
        <v>426</v>
      </c>
      <c r="BB163" s="5">
        <v>442</v>
      </c>
      <c r="BC163" s="5" t="s">
        <v>21</v>
      </c>
      <c r="BD163" s="5" t="s">
        <v>3221</v>
      </c>
      <c r="BE163" s="5" t="str">
        <f>HYPERLINK("http://dx.doi.org/10.1007/s41252-022-00287-1","http://dx.doi.org/10.1007/s41252-022-00287-1")</f>
        <v>http://dx.doi.org/10.1007/s41252-022-00287-1</v>
      </c>
      <c r="BF163" s="5" t="s">
        <v>21</v>
      </c>
      <c r="BG163" s="5" t="s">
        <v>3222</v>
      </c>
      <c r="BH163" s="5">
        <v>17</v>
      </c>
      <c r="BI163" s="5" t="s">
        <v>741</v>
      </c>
      <c r="BJ163" s="5" t="s">
        <v>1907</v>
      </c>
      <c r="BK163" s="5" t="s">
        <v>742</v>
      </c>
      <c r="BL163" s="5" t="s">
        <v>3223</v>
      </c>
      <c r="BM163" s="5" t="s">
        <v>21</v>
      </c>
      <c r="BN163" s="5" t="s">
        <v>120</v>
      </c>
      <c r="BO163" s="5" t="s">
        <v>21</v>
      </c>
      <c r="BP163" s="5" t="s">
        <v>21</v>
      </c>
      <c r="BQ163" s="5" t="s">
        <v>49</v>
      </c>
      <c r="BR163" s="5" t="s">
        <v>3224</v>
      </c>
      <c r="BS163" s="5" t="str">
        <f>HYPERLINK("https%3A%2F%2Fwww.webofscience.com%2Fwos%2Fwoscc%2Ffull-record%2FWOS:000863135800002","View Full Record in Web of Science")</f>
        <v>View Full Record in Web of Science</v>
      </c>
    </row>
    <row r="164" spans="1:71" x14ac:dyDescent="0.25">
      <c r="A164" t="s">
        <v>19</v>
      </c>
      <c r="B164" s="5" t="s">
        <v>3225</v>
      </c>
      <c r="C164" s="5" t="s">
        <v>21</v>
      </c>
      <c r="D164" s="5" t="s">
        <v>21</v>
      </c>
      <c r="E164" s="5" t="s">
        <v>21</v>
      </c>
      <c r="F164" s="5" t="s">
        <v>3226</v>
      </c>
      <c r="G164" s="5" t="s">
        <v>21</v>
      </c>
      <c r="H164" s="5" t="s">
        <v>21</v>
      </c>
      <c r="I164" s="5" t="s">
        <v>3227</v>
      </c>
      <c r="J164" s="12" t="s">
        <v>3228</v>
      </c>
      <c r="K164" s="5" t="s">
        <v>21</v>
      </c>
      <c r="L164" s="5" t="s">
        <v>21</v>
      </c>
      <c r="M164" s="5" t="s">
        <v>25</v>
      </c>
      <c r="N164" s="5" t="s">
        <v>26</v>
      </c>
      <c r="O164" s="5" t="s">
        <v>21</v>
      </c>
      <c r="P164" s="5" t="s">
        <v>21</v>
      </c>
      <c r="Q164" s="5" t="s">
        <v>21</v>
      </c>
      <c r="R164" s="5" t="s">
        <v>21</v>
      </c>
      <c r="S164" s="5" t="s">
        <v>21</v>
      </c>
      <c r="T164" s="5" t="s">
        <v>3229</v>
      </c>
      <c r="U164" s="5" t="s">
        <v>3230</v>
      </c>
      <c r="V164" s="5" t="s">
        <v>3231</v>
      </c>
      <c r="W164" s="5" t="s">
        <v>3232</v>
      </c>
      <c r="X164" s="5" t="s">
        <v>3233</v>
      </c>
      <c r="Y164" s="5" t="s">
        <v>3234</v>
      </c>
      <c r="Z164" s="5" t="s">
        <v>3235</v>
      </c>
      <c r="AA164" s="5" t="s">
        <v>1451</v>
      </c>
      <c r="AB164" s="5" t="s">
        <v>2804</v>
      </c>
      <c r="AC164" s="5" t="s">
        <v>21</v>
      </c>
      <c r="AD164" s="5" t="s">
        <v>21</v>
      </c>
      <c r="AE164" s="5" t="s">
        <v>21</v>
      </c>
      <c r="AF164" s="5">
        <v>90</v>
      </c>
      <c r="AG164" s="5">
        <v>16</v>
      </c>
      <c r="AH164" s="5">
        <v>16</v>
      </c>
      <c r="AI164" s="5">
        <v>4</v>
      </c>
      <c r="AJ164" s="5">
        <v>27</v>
      </c>
      <c r="AK164" s="5" t="s">
        <v>3236</v>
      </c>
      <c r="AL164" s="5" t="s">
        <v>64</v>
      </c>
      <c r="AM164" s="5" t="s">
        <v>3237</v>
      </c>
      <c r="AN164" s="5" t="s">
        <v>3238</v>
      </c>
      <c r="AO164" s="5" t="s">
        <v>3239</v>
      </c>
      <c r="AP164" s="5" t="s">
        <v>21</v>
      </c>
      <c r="AQ164" s="5" t="s">
        <v>3240</v>
      </c>
      <c r="AR164" s="5" t="s">
        <v>3241</v>
      </c>
      <c r="AS164" s="5" t="s">
        <v>269</v>
      </c>
      <c r="AT164" s="5">
        <v>2022</v>
      </c>
      <c r="AU164" s="5">
        <v>26</v>
      </c>
      <c r="AV164" s="5">
        <v>4</v>
      </c>
      <c r="AW164" s="5" t="s">
        <v>21</v>
      </c>
      <c r="AX164" s="5" t="s">
        <v>21</v>
      </c>
      <c r="AY164" s="5" t="s">
        <v>21</v>
      </c>
      <c r="AZ164" s="5" t="s">
        <v>21</v>
      </c>
      <c r="BA164" s="5">
        <v>1705</v>
      </c>
      <c r="BB164" s="5">
        <v>1724</v>
      </c>
      <c r="BC164" s="5" t="s">
        <v>21</v>
      </c>
      <c r="BD164" s="5" t="s">
        <v>3242</v>
      </c>
      <c r="BE164" s="5" t="str">
        <f>HYPERLINK("http://dx.doi.org/10.1007/s10055-022-00661-3","http://dx.doi.org/10.1007/s10055-022-00661-3")</f>
        <v>http://dx.doi.org/10.1007/s10055-022-00661-3</v>
      </c>
      <c r="BF164" s="5" t="s">
        <v>21</v>
      </c>
      <c r="BG164" s="5" t="s">
        <v>3243</v>
      </c>
      <c r="BH164" s="5">
        <v>20</v>
      </c>
      <c r="BI164" s="5" t="s">
        <v>3244</v>
      </c>
      <c r="BJ164" s="5" t="s">
        <v>524</v>
      </c>
      <c r="BK164" s="5" t="s">
        <v>3245</v>
      </c>
      <c r="BL164" s="5" t="s">
        <v>3246</v>
      </c>
      <c r="BM164" s="5" t="s">
        <v>21</v>
      </c>
      <c r="BN164" s="5" t="s">
        <v>21</v>
      </c>
      <c r="BO164" s="5" t="s">
        <v>21</v>
      </c>
      <c r="BP164" s="5" t="s">
        <v>21</v>
      </c>
      <c r="BQ164" s="5" t="s">
        <v>49</v>
      </c>
      <c r="BR164" s="5" t="s">
        <v>3247</v>
      </c>
      <c r="BS164" s="5" t="str">
        <f>HYPERLINK("https%3A%2F%2Fwww.webofscience.com%2Fwos%2Fwoscc%2Ffull-record%2FWOS:000806688600001","View Full Record in Web of Science")</f>
        <v>View Full Record in Web of Science</v>
      </c>
    </row>
    <row r="165" spans="1:71" x14ac:dyDescent="0.25">
      <c r="A165" t="s">
        <v>19</v>
      </c>
      <c r="B165" s="5" t="s">
        <v>3248</v>
      </c>
      <c r="C165" s="5" t="s">
        <v>21</v>
      </c>
      <c r="D165" s="5" t="s">
        <v>21</v>
      </c>
      <c r="E165" s="5" t="s">
        <v>21</v>
      </c>
      <c r="F165" s="5" t="s">
        <v>3249</v>
      </c>
      <c r="G165" s="5" t="s">
        <v>21</v>
      </c>
      <c r="H165" s="5" t="s">
        <v>21</v>
      </c>
      <c r="I165" s="5" t="s">
        <v>3250</v>
      </c>
      <c r="J165" s="12" t="s">
        <v>3251</v>
      </c>
      <c r="K165" s="5" t="s">
        <v>21</v>
      </c>
      <c r="L165" s="5" t="s">
        <v>21</v>
      </c>
      <c r="M165" s="5" t="s">
        <v>25</v>
      </c>
      <c r="N165" s="5" t="s">
        <v>26</v>
      </c>
      <c r="O165" s="5" t="s">
        <v>21</v>
      </c>
      <c r="P165" s="5" t="s">
        <v>21</v>
      </c>
      <c r="Q165" s="5" t="s">
        <v>21</v>
      </c>
      <c r="R165" s="5" t="s">
        <v>21</v>
      </c>
      <c r="S165" s="5" t="s">
        <v>21</v>
      </c>
      <c r="T165" s="5" t="s">
        <v>3252</v>
      </c>
      <c r="U165" s="5" t="s">
        <v>3253</v>
      </c>
      <c r="V165" s="5" t="s">
        <v>3254</v>
      </c>
      <c r="W165" s="5" t="s">
        <v>3255</v>
      </c>
      <c r="X165" s="5" t="s">
        <v>3256</v>
      </c>
      <c r="Y165" s="5" t="s">
        <v>3257</v>
      </c>
      <c r="Z165" s="5" t="s">
        <v>3258</v>
      </c>
      <c r="AA165" s="5" t="s">
        <v>21</v>
      </c>
      <c r="AB165" s="5" t="s">
        <v>21</v>
      </c>
      <c r="AC165" s="5" t="s">
        <v>21</v>
      </c>
      <c r="AD165" s="5" t="s">
        <v>21</v>
      </c>
      <c r="AE165" s="5" t="s">
        <v>21</v>
      </c>
      <c r="AF165" s="5">
        <v>29</v>
      </c>
      <c r="AG165" s="5">
        <v>16</v>
      </c>
      <c r="AH165" s="5">
        <v>16</v>
      </c>
      <c r="AI165" s="5">
        <v>6</v>
      </c>
      <c r="AJ165" s="5">
        <v>27</v>
      </c>
      <c r="AK165" s="5" t="s">
        <v>3259</v>
      </c>
      <c r="AL165" s="5" t="s">
        <v>3260</v>
      </c>
      <c r="AM165" s="5" t="s">
        <v>3261</v>
      </c>
      <c r="AN165" s="5" t="s">
        <v>3262</v>
      </c>
      <c r="AO165" s="5" t="s">
        <v>3263</v>
      </c>
      <c r="AP165" s="5" t="s">
        <v>21</v>
      </c>
      <c r="AQ165" s="5" t="s">
        <v>3264</v>
      </c>
      <c r="AR165" s="5" t="s">
        <v>3265</v>
      </c>
      <c r="AS165" s="5" t="s">
        <v>21</v>
      </c>
      <c r="AT165" s="5">
        <v>2022</v>
      </c>
      <c r="AU165" s="5">
        <v>23</v>
      </c>
      <c r="AV165" s="5">
        <v>1</v>
      </c>
      <c r="AW165" s="5" t="s">
        <v>21</v>
      </c>
      <c r="AX165" s="5" t="s">
        <v>21</v>
      </c>
      <c r="AY165" s="5" t="s">
        <v>21</v>
      </c>
      <c r="AZ165" s="5" t="s">
        <v>21</v>
      </c>
      <c r="BA165" s="5">
        <v>54</v>
      </c>
      <c r="BB165" s="5">
        <v>60</v>
      </c>
      <c r="BC165" s="5" t="s">
        <v>21</v>
      </c>
      <c r="BD165" s="5" t="s">
        <v>3266</v>
      </c>
      <c r="BE165" s="5" t="str">
        <f>HYPERLINK("http://dx.doi.org/10.23804/ejpd.2022.23.01.10","http://dx.doi.org/10.23804/ejpd.2022.23.01.10")</f>
        <v>http://dx.doi.org/10.23804/ejpd.2022.23.01.10</v>
      </c>
      <c r="BF165" s="5" t="s">
        <v>21</v>
      </c>
      <c r="BG165" s="5" t="s">
        <v>21</v>
      </c>
      <c r="BH165" s="5">
        <v>7</v>
      </c>
      <c r="BI165" s="5" t="s">
        <v>3267</v>
      </c>
      <c r="BJ165" s="5" t="s">
        <v>524</v>
      </c>
      <c r="BK165" s="5" t="s">
        <v>3267</v>
      </c>
      <c r="BL165" s="5" t="s">
        <v>3268</v>
      </c>
      <c r="BM165" s="5">
        <v>35274543</v>
      </c>
      <c r="BN165" s="5" t="s">
        <v>21</v>
      </c>
      <c r="BO165" s="5" t="s">
        <v>21</v>
      </c>
      <c r="BP165" s="5" t="s">
        <v>21</v>
      </c>
      <c r="BQ165" s="5" t="s">
        <v>49</v>
      </c>
      <c r="BR165" s="5" t="s">
        <v>3269</v>
      </c>
      <c r="BS165" s="5" t="str">
        <f>HYPERLINK("https%3A%2F%2Fwww.webofscience.com%2Fwos%2Fwoscc%2Ffull-record%2FWOS:000768796100010","View Full Record in Web of Science")</f>
        <v>View Full Record in Web of Science</v>
      </c>
    </row>
    <row r="166" spans="1:71" x14ac:dyDescent="0.25">
      <c r="A166" t="s">
        <v>19</v>
      </c>
      <c r="B166" s="5" t="s">
        <v>3270</v>
      </c>
      <c r="C166" s="5" t="s">
        <v>21</v>
      </c>
      <c r="D166" s="5" t="s">
        <v>21</v>
      </c>
      <c r="E166" s="5" t="s">
        <v>21</v>
      </c>
      <c r="F166" s="5" t="s">
        <v>3271</v>
      </c>
      <c r="G166" s="5" t="s">
        <v>21</v>
      </c>
      <c r="H166" s="5" t="s">
        <v>21</v>
      </c>
      <c r="I166" s="5" t="s">
        <v>3272</v>
      </c>
      <c r="J166" s="12" t="s">
        <v>24</v>
      </c>
      <c r="K166" s="5" t="s">
        <v>21</v>
      </c>
      <c r="L166" s="5" t="s">
        <v>21</v>
      </c>
      <c r="M166" s="5" t="s">
        <v>25</v>
      </c>
      <c r="N166" s="5" t="s">
        <v>26</v>
      </c>
      <c r="O166" s="5" t="s">
        <v>21</v>
      </c>
      <c r="P166" s="5" t="s">
        <v>21</v>
      </c>
      <c r="Q166" s="5" t="s">
        <v>21</v>
      </c>
      <c r="R166" s="5" t="s">
        <v>21</v>
      </c>
      <c r="S166" s="5" t="s">
        <v>21</v>
      </c>
      <c r="T166" s="5" t="s">
        <v>3273</v>
      </c>
      <c r="U166" s="5" t="s">
        <v>3274</v>
      </c>
      <c r="V166" s="5" t="s">
        <v>3275</v>
      </c>
      <c r="W166" s="5" t="s">
        <v>3276</v>
      </c>
      <c r="X166" s="5" t="s">
        <v>3277</v>
      </c>
      <c r="Y166" s="5" t="s">
        <v>3278</v>
      </c>
      <c r="Z166" s="5" t="s">
        <v>3279</v>
      </c>
      <c r="AA166" s="5" t="s">
        <v>21</v>
      </c>
      <c r="AB166" s="5" t="s">
        <v>3280</v>
      </c>
      <c r="AC166" s="5" t="s">
        <v>3281</v>
      </c>
      <c r="AD166" s="5" t="s">
        <v>3282</v>
      </c>
      <c r="AE166" s="5" t="s">
        <v>3283</v>
      </c>
      <c r="AF166" s="5">
        <v>63</v>
      </c>
      <c r="AG166" s="5">
        <v>16</v>
      </c>
      <c r="AH166" s="5">
        <v>17</v>
      </c>
      <c r="AI166" s="5">
        <v>3</v>
      </c>
      <c r="AJ166" s="5">
        <v>41</v>
      </c>
      <c r="AK166" s="5" t="s">
        <v>35</v>
      </c>
      <c r="AL166" s="5" t="s">
        <v>36</v>
      </c>
      <c r="AM166" s="5" t="s">
        <v>37</v>
      </c>
      <c r="AN166" s="5" t="s">
        <v>38</v>
      </c>
      <c r="AO166" s="5" t="s">
        <v>39</v>
      </c>
      <c r="AP166" s="5" t="s">
        <v>21</v>
      </c>
      <c r="AQ166" s="5" t="s">
        <v>40</v>
      </c>
      <c r="AR166" s="5" t="s">
        <v>41</v>
      </c>
      <c r="AS166" s="5" t="s">
        <v>290</v>
      </c>
      <c r="AT166" s="5">
        <v>2022</v>
      </c>
      <c r="AU166" s="5">
        <v>52</v>
      </c>
      <c r="AV166" s="5">
        <v>7</v>
      </c>
      <c r="AW166" s="5" t="s">
        <v>21</v>
      </c>
      <c r="AX166" s="5" t="s">
        <v>21</v>
      </c>
      <c r="AY166" s="5" t="s">
        <v>21</v>
      </c>
      <c r="AZ166" s="5" t="s">
        <v>21</v>
      </c>
      <c r="BA166" s="5">
        <v>2970</v>
      </c>
      <c r="BB166" s="5">
        <v>2983</v>
      </c>
      <c r="BC166" s="5" t="s">
        <v>21</v>
      </c>
      <c r="BD166" s="5" t="s">
        <v>3284</v>
      </c>
      <c r="BE166" s="5" t="str">
        <f>HYPERLINK("http://dx.doi.org/10.1007/s10803-021-05175-6","http://dx.doi.org/10.1007/s10803-021-05175-6")</f>
        <v>http://dx.doi.org/10.1007/s10803-021-05175-6</v>
      </c>
      <c r="BF166" s="5" t="s">
        <v>21</v>
      </c>
      <c r="BG166" s="5" t="s">
        <v>3285</v>
      </c>
      <c r="BH166" s="5">
        <v>14</v>
      </c>
      <c r="BI166" s="5" t="s">
        <v>44</v>
      </c>
      <c r="BJ166" s="5" t="s">
        <v>45</v>
      </c>
      <c r="BK166" s="5" t="s">
        <v>46</v>
      </c>
      <c r="BL166" s="5" t="s">
        <v>3286</v>
      </c>
      <c r="BM166" s="5">
        <v>34244916</v>
      </c>
      <c r="BN166" s="5" t="s">
        <v>21</v>
      </c>
      <c r="BO166" s="5" t="s">
        <v>21</v>
      </c>
      <c r="BP166" s="5" t="s">
        <v>21</v>
      </c>
      <c r="BQ166" s="5" t="s">
        <v>49</v>
      </c>
      <c r="BR166" s="5" t="s">
        <v>3287</v>
      </c>
      <c r="BS166" s="5" t="str">
        <f>HYPERLINK("https%3A%2F%2Fwww.webofscience.com%2Fwos%2Fwoscc%2Ffull-record%2FWOS:000671542300002","View Full Record in Web of Science")</f>
        <v>View Full Record in Web of Science</v>
      </c>
    </row>
    <row r="167" spans="1:71" x14ac:dyDescent="0.25">
      <c r="A167" t="s">
        <v>19</v>
      </c>
      <c r="B167" s="5" t="s">
        <v>3288</v>
      </c>
      <c r="C167" s="5" t="s">
        <v>21</v>
      </c>
      <c r="D167" s="5" t="s">
        <v>21</v>
      </c>
      <c r="E167" s="5" t="s">
        <v>21</v>
      </c>
      <c r="F167" s="5" t="s">
        <v>3289</v>
      </c>
      <c r="G167" s="5" t="s">
        <v>21</v>
      </c>
      <c r="H167" s="5" t="s">
        <v>21</v>
      </c>
      <c r="I167" s="5" t="s">
        <v>3290</v>
      </c>
      <c r="J167" s="12" t="s">
        <v>390</v>
      </c>
      <c r="K167" s="5" t="s">
        <v>21</v>
      </c>
      <c r="L167" s="5" t="s">
        <v>21</v>
      </c>
      <c r="M167" s="5" t="s">
        <v>25</v>
      </c>
      <c r="N167" s="5" t="s">
        <v>76</v>
      </c>
      <c r="O167" s="5" t="s">
        <v>21</v>
      </c>
      <c r="P167" s="5" t="s">
        <v>21</v>
      </c>
      <c r="Q167" s="5" t="s">
        <v>21</v>
      </c>
      <c r="R167" s="5" t="s">
        <v>21</v>
      </c>
      <c r="S167" s="5" t="s">
        <v>21</v>
      </c>
      <c r="T167" s="5" t="s">
        <v>3291</v>
      </c>
      <c r="U167" s="5" t="s">
        <v>3292</v>
      </c>
      <c r="V167" s="5" t="s">
        <v>3293</v>
      </c>
      <c r="W167" s="5" t="s">
        <v>3294</v>
      </c>
      <c r="X167" s="5" t="s">
        <v>3295</v>
      </c>
      <c r="Y167" s="5" t="s">
        <v>3296</v>
      </c>
      <c r="Z167" s="5" t="s">
        <v>3297</v>
      </c>
      <c r="AA167" s="5" t="s">
        <v>3298</v>
      </c>
      <c r="AB167" s="5" t="s">
        <v>3299</v>
      </c>
      <c r="AC167" s="5" t="s">
        <v>21</v>
      </c>
      <c r="AD167" s="5" t="s">
        <v>21</v>
      </c>
      <c r="AE167" s="5" t="s">
        <v>21</v>
      </c>
      <c r="AF167" s="5">
        <v>67</v>
      </c>
      <c r="AG167" s="5">
        <v>16</v>
      </c>
      <c r="AH167" s="5">
        <v>17</v>
      </c>
      <c r="AI167" s="5">
        <v>1</v>
      </c>
      <c r="AJ167" s="5">
        <v>59</v>
      </c>
      <c r="AK167" s="5" t="s">
        <v>193</v>
      </c>
      <c r="AL167" s="5" t="s">
        <v>194</v>
      </c>
      <c r="AM167" s="5" t="s">
        <v>195</v>
      </c>
      <c r="AN167" s="5" t="s">
        <v>21</v>
      </c>
      <c r="AO167" s="5" t="s">
        <v>402</v>
      </c>
      <c r="AP167" s="5" t="s">
        <v>21</v>
      </c>
      <c r="AQ167" s="5" t="s">
        <v>403</v>
      </c>
      <c r="AR167" s="5" t="s">
        <v>404</v>
      </c>
      <c r="AS167" s="5" t="s">
        <v>782</v>
      </c>
      <c r="AT167" s="5">
        <v>2021</v>
      </c>
      <c r="AU167" s="5">
        <v>18</v>
      </c>
      <c r="AV167" s="5">
        <v>8</v>
      </c>
      <c r="AW167" s="5" t="s">
        <v>21</v>
      </c>
      <c r="AX167" s="5" t="s">
        <v>21</v>
      </c>
      <c r="AY167" s="5" t="s">
        <v>21</v>
      </c>
      <c r="AZ167" s="5" t="s">
        <v>21</v>
      </c>
      <c r="BA167" s="5" t="s">
        <v>21</v>
      </c>
      <c r="BB167" s="5" t="s">
        <v>21</v>
      </c>
      <c r="BC167" s="5">
        <v>4006</v>
      </c>
      <c r="BD167" s="5" t="s">
        <v>3300</v>
      </c>
      <c r="BE167" s="5" t="str">
        <f>HYPERLINK("http://dx.doi.org/10.3390/ijerph18084006","http://dx.doi.org/10.3390/ijerph18084006")</f>
        <v>http://dx.doi.org/10.3390/ijerph18084006</v>
      </c>
      <c r="BF167" s="5" t="s">
        <v>21</v>
      </c>
      <c r="BG167" s="5" t="s">
        <v>21</v>
      </c>
      <c r="BH167" s="5">
        <v>23</v>
      </c>
      <c r="BI167" s="5" t="s">
        <v>406</v>
      </c>
      <c r="BJ167" s="5" t="s">
        <v>92</v>
      </c>
      <c r="BK167" s="5" t="s">
        <v>407</v>
      </c>
      <c r="BL167" s="5" t="s">
        <v>3301</v>
      </c>
      <c r="BM167" s="5">
        <v>33920362</v>
      </c>
      <c r="BN167" s="5" t="s">
        <v>163</v>
      </c>
      <c r="BO167" s="5" t="s">
        <v>21</v>
      </c>
      <c r="BP167" s="5" t="s">
        <v>21</v>
      </c>
      <c r="BQ167" s="5" t="s">
        <v>49</v>
      </c>
      <c r="BR167" s="5" t="s">
        <v>3302</v>
      </c>
      <c r="BS167" s="5" t="str">
        <f>HYPERLINK("https%3A%2F%2Fwww.webofscience.com%2Fwos%2Fwoscc%2Ffull-record%2FWOS:000644091000001","View Full Record in Web of Science")</f>
        <v>View Full Record in Web of Science</v>
      </c>
    </row>
    <row r="168" spans="1:71" x14ac:dyDescent="0.25">
      <c r="A168" t="s">
        <v>19</v>
      </c>
      <c r="B168" s="5" t="s">
        <v>3303</v>
      </c>
      <c r="C168" s="5" t="s">
        <v>21</v>
      </c>
      <c r="D168" s="5" t="s">
        <v>21</v>
      </c>
      <c r="E168" s="5" t="s">
        <v>21</v>
      </c>
      <c r="F168" s="5" t="s">
        <v>3304</v>
      </c>
      <c r="G168" s="5" t="s">
        <v>21</v>
      </c>
      <c r="H168" s="5" t="s">
        <v>21</v>
      </c>
      <c r="I168" s="5" t="s">
        <v>3305</v>
      </c>
      <c r="J168" s="12" t="s">
        <v>3306</v>
      </c>
      <c r="K168" s="5" t="s">
        <v>21</v>
      </c>
      <c r="L168" s="5" t="s">
        <v>21</v>
      </c>
      <c r="M168" s="5" t="s">
        <v>25</v>
      </c>
      <c r="N168" s="5" t="s">
        <v>26</v>
      </c>
      <c r="O168" s="5" t="s">
        <v>21</v>
      </c>
      <c r="P168" s="5" t="s">
        <v>21</v>
      </c>
      <c r="Q168" s="5" t="s">
        <v>21</v>
      </c>
      <c r="R168" s="5" t="s">
        <v>21</v>
      </c>
      <c r="S168" s="5" t="s">
        <v>21</v>
      </c>
      <c r="T168" s="5" t="s">
        <v>21</v>
      </c>
      <c r="U168" s="5" t="s">
        <v>21</v>
      </c>
      <c r="V168" s="5" t="s">
        <v>3307</v>
      </c>
      <c r="W168" s="5" t="s">
        <v>3308</v>
      </c>
      <c r="X168" s="5" t="s">
        <v>3309</v>
      </c>
      <c r="Y168" s="5" t="s">
        <v>3310</v>
      </c>
      <c r="Z168" s="5" t="s">
        <v>3311</v>
      </c>
      <c r="AA168" s="5" t="s">
        <v>3312</v>
      </c>
      <c r="AB168" s="5" t="s">
        <v>3313</v>
      </c>
      <c r="AC168" s="5" t="s">
        <v>3314</v>
      </c>
      <c r="AD168" s="5" t="s">
        <v>3315</v>
      </c>
      <c r="AE168" s="5" t="s">
        <v>3316</v>
      </c>
      <c r="AF168" s="5">
        <v>45</v>
      </c>
      <c r="AG168" s="5">
        <v>15</v>
      </c>
      <c r="AH168" s="5">
        <v>15</v>
      </c>
      <c r="AI168" s="5">
        <v>20</v>
      </c>
      <c r="AJ168" s="5">
        <v>81</v>
      </c>
      <c r="AK168" s="5" t="s">
        <v>2261</v>
      </c>
      <c r="AL168" s="5" t="s">
        <v>64</v>
      </c>
      <c r="AM168" s="5" t="s">
        <v>2262</v>
      </c>
      <c r="AN168" s="5" t="s">
        <v>3317</v>
      </c>
      <c r="AO168" s="5" t="s">
        <v>3318</v>
      </c>
      <c r="AP168" s="5" t="s">
        <v>21</v>
      </c>
      <c r="AQ168" s="5" t="s">
        <v>3319</v>
      </c>
      <c r="AR168" s="5" t="s">
        <v>3320</v>
      </c>
      <c r="AS168" s="5" t="s">
        <v>3321</v>
      </c>
      <c r="AT168" s="5">
        <v>2022</v>
      </c>
      <c r="AU168" s="5">
        <v>2022</v>
      </c>
      <c r="AV168" s="5" t="s">
        <v>21</v>
      </c>
      <c r="AW168" s="5" t="s">
        <v>21</v>
      </c>
      <c r="AX168" s="5" t="s">
        <v>21</v>
      </c>
      <c r="AY168" s="5" t="s">
        <v>21</v>
      </c>
      <c r="AZ168" s="5" t="s">
        <v>21</v>
      </c>
      <c r="BA168" s="5" t="s">
        <v>21</v>
      </c>
      <c r="BB168" s="5" t="s">
        <v>21</v>
      </c>
      <c r="BC168" s="5">
        <v>9213526</v>
      </c>
      <c r="BD168" s="5" t="s">
        <v>3322</v>
      </c>
      <c r="BE168" s="5" t="str">
        <f>HYPERLINK("http://dx.doi.org/10.1155/2022/9213526","http://dx.doi.org/10.1155/2022/9213526")</f>
        <v>http://dx.doi.org/10.1155/2022/9213526</v>
      </c>
      <c r="BF168" s="5" t="s">
        <v>21</v>
      </c>
      <c r="BG168" s="5" t="s">
        <v>21</v>
      </c>
      <c r="BH168" s="5">
        <v>21</v>
      </c>
      <c r="BI168" s="5" t="s">
        <v>3323</v>
      </c>
      <c r="BJ168" s="5" t="s">
        <v>524</v>
      </c>
      <c r="BK168" s="5" t="s">
        <v>3324</v>
      </c>
      <c r="BL168" s="5" t="s">
        <v>3325</v>
      </c>
      <c r="BM168" s="5">
        <v>35528364</v>
      </c>
      <c r="BN168" s="5" t="s">
        <v>970</v>
      </c>
      <c r="BO168" s="5" t="s">
        <v>21</v>
      </c>
      <c r="BP168" s="5" t="s">
        <v>21</v>
      </c>
      <c r="BQ168" s="5" t="s">
        <v>49</v>
      </c>
      <c r="BR168" s="5" t="s">
        <v>3326</v>
      </c>
      <c r="BS168" s="5" t="str">
        <f>HYPERLINK("https%3A%2F%2Fwww.webofscience.com%2Fwos%2Fwoscc%2Ffull-record%2FWOS:000821586800009","View Full Record in Web of Science")</f>
        <v>View Full Record in Web of Science</v>
      </c>
    </row>
    <row r="169" spans="1:71" x14ac:dyDescent="0.25">
      <c r="A169" t="s">
        <v>19</v>
      </c>
      <c r="B169" s="5" t="s">
        <v>3327</v>
      </c>
      <c r="C169" s="5" t="s">
        <v>21</v>
      </c>
      <c r="D169" s="5" t="s">
        <v>21</v>
      </c>
      <c r="E169" s="5" t="s">
        <v>21</v>
      </c>
      <c r="F169" s="5" t="s">
        <v>3328</v>
      </c>
      <c r="G169" s="5" t="s">
        <v>21</v>
      </c>
      <c r="H169" s="5" t="s">
        <v>21</v>
      </c>
      <c r="I169" s="5" t="s">
        <v>3329</v>
      </c>
      <c r="J169" s="12" t="s">
        <v>3330</v>
      </c>
      <c r="K169" s="5" t="s">
        <v>21</v>
      </c>
      <c r="L169" s="5" t="s">
        <v>21</v>
      </c>
      <c r="M169" s="5" t="s">
        <v>25</v>
      </c>
      <c r="N169" s="5" t="s">
        <v>76</v>
      </c>
      <c r="O169" s="5" t="s">
        <v>21</v>
      </c>
      <c r="P169" s="5" t="s">
        <v>21</v>
      </c>
      <c r="Q169" s="5" t="s">
        <v>21</v>
      </c>
      <c r="R169" s="5" t="s">
        <v>21</v>
      </c>
      <c r="S169" s="5" t="s">
        <v>21</v>
      </c>
      <c r="T169" s="5" t="s">
        <v>3331</v>
      </c>
      <c r="U169" s="5" t="s">
        <v>3332</v>
      </c>
      <c r="V169" s="5" t="s">
        <v>3333</v>
      </c>
      <c r="W169" s="5" t="s">
        <v>3334</v>
      </c>
      <c r="X169" s="5" t="s">
        <v>3335</v>
      </c>
      <c r="Y169" s="5" t="s">
        <v>3336</v>
      </c>
      <c r="Z169" s="5" t="s">
        <v>3337</v>
      </c>
      <c r="AA169" s="5" t="s">
        <v>3338</v>
      </c>
      <c r="AB169" s="5" t="s">
        <v>21</v>
      </c>
      <c r="AC169" s="5" t="s">
        <v>3339</v>
      </c>
      <c r="AD169" s="5" t="s">
        <v>3339</v>
      </c>
      <c r="AE169" s="5" t="s">
        <v>3340</v>
      </c>
      <c r="AF169" s="5">
        <v>61</v>
      </c>
      <c r="AG169" s="5">
        <v>15</v>
      </c>
      <c r="AH169" s="5">
        <v>15</v>
      </c>
      <c r="AI169" s="5">
        <v>1</v>
      </c>
      <c r="AJ169" s="5">
        <v>27</v>
      </c>
      <c r="AK169" s="5" t="s">
        <v>153</v>
      </c>
      <c r="AL169" s="5" t="s">
        <v>154</v>
      </c>
      <c r="AM169" s="5" t="s">
        <v>155</v>
      </c>
      <c r="AN169" s="5" t="s">
        <v>3341</v>
      </c>
      <c r="AO169" s="5" t="s">
        <v>21</v>
      </c>
      <c r="AP169" s="5" t="s">
        <v>21</v>
      </c>
      <c r="AQ169" s="5" t="s">
        <v>3342</v>
      </c>
      <c r="AR169" s="5" t="s">
        <v>3343</v>
      </c>
      <c r="AS169" s="5" t="s">
        <v>3344</v>
      </c>
      <c r="AT169" s="5">
        <v>2022</v>
      </c>
      <c r="AU169" s="5">
        <v>10</v>
      </c>
      <c r="AV169" s="5" t="s">
        <v>21</v>
      </c>
      <c r="AW169" s="5" t="s">
        <v>21</v>
      </c>
      <c r="AX169" s="5" t="s">
        <v>21</v>
      </c>
      <c r="AY169" s="5" t="s">
        <v>21</v>
      </c>
      <c r="AZ169" s="5" t="s">
        <v>21</v>
      </c>
      <c r="BA169" s="5" t="s">
        <v>21</v>
      </c>
      <c r="BB169" s="5" t="s">
        <v>21</v>
      </c>
      <c r="BC169" s="5">
        <v>775356</v>
      </c>
      <c r="BD169" s="5" t="s">
        <v>3345</v>
      </c>
      <c r="BE169" s="5" t="str">
        <f>HYPERLINK("http://dx.doi.org/10.3389/fped.2022.775356","http://dx.doi.org/10.3389/fped.2022.775356")</f>
        <v>http://dx.doi.org/10.3389/fped.2022.775356</v>
      </c>
      <c r="BF169" s="5" t="s">
        <v>21</v>
      </c>
      <c r="BG169" s="5" t="s">
        <v>21</v>
      </c>
      <c r="BH169" s="5">
        <v>9</v>
      </c>
      <c r="BI169" s="5" t="s">
        <v>1417</v>
      </c>
      <c r="BJ169" s="5" t="s">
        <v>92</v>
      </c>
      <c r="BK169" s="5" t="s">
        <v>1417</v>
      </c>
      <c r="BL169" s="5" t="s">
        <v>3346</v>
      </c>
      <c r="BM169" s="5">
        <v>35155305</v>
      </c>
      <c r="BN169" s="5" t="s">
        <v>163</v>
      </c>
      <c r="BO169" s="5" t="s">
        <v>21</v>
      </c>
      <c r="BP169" s="5" t="s">
        <v>21</v>
      </c>
      <c r="BQ169" s="5" t="s">
        <v>49</v>
      </c>
      <c r="BR169" s="5" t="s">
        <v>3347</v>
      </c>
      <c r="BS169" s="5" t="str">
        <f>HYPERLINK("https%3A%2F%2Fwww.webofscience.com%2Fwos%2Fwoscc%2Ffull-record%2FWOS:000760614000001","View Full Record in Web of Science")</f>
        <v>View Full Record in Web of Science</v>
      </c>
    </row>
    <row r="170" spans="1:71" x14ac:dyDescent="0.25">
      <c r="A170" t="s">
        <v>19</v>
      </c>
      <c r="B170" s="5" t="s">
        <v>3348</v>
      </c>
      <c r="C170" s="5" t="s">
        <v>21</v>
      </c>
      <c r="D170" s="5" t="s">
        <v>21</v>
      </c>
      <c r="E170" s="5" t="s">
        <v>21</v>
      </c>
      <c r="F170" s="5" t="s">
        <v>3349</v>
      </c>
      <c r="G170" s="5" t="s">
        <v>21</v>
      </c>
      <c r="H170" s="5" t="s">
        <v>21</v>
      </c>
      <c r="I170" s="5" t="s">
        <v>3350</v>
      </c>
      <c r="J170" s="12" t="s">
        <v>1610</v>
      </c>
      <c r="K170" s="5" t="s">
        <v>21</v>
      </c>
      <c r="L170" s="5" t="s">
        <v>21</v>
      </c>
      <c r="M170" s="5" t="s">
        <v>25</v>
      </c>
      <c r="N170" s="5" t="s">
        <v>26</v>
      </c>
      <c r="O170" s="5" t="s">
        <v>21</v>
      </c>
      <c r="P170" s="5" t="s">
        <v>21</v>
      </c>
      <c r="Q170" s="5" t="s">
        <v>21</v>
      </c>
      <c r="R170" s="5" t="s">
        <v>21</v>
      </c>
      <c r="S170" s="5" t="s">
        <v>21</v>
      </c>
      <c r="T170" s="5" t="s">
        <v>3351</v>
      </c>
      <c r="U170" s="5" t="s">
        <v>3352</v>
      </c>
      <c r="V170" s="5" t="s">
        <v>3353</v>
      </c>
      <c r="W170" s="5" t="s">
        <v>3354</v>
      </c>
      <c r="X170" s="5" t="s">
        <v>3355</v>
      </c>
      <c r="Y170" s="5" t="s">
        <v>3356</v>
      </c>
      <c r="Z170" s="5" t="s">
        <v>3357</v>
      </c>
      <c r="AA170" s="5" t="s">
        <v>3358</v>
      </c>
      <c r="AB170" s="5" t="s">
        <v>3359</v>
      </c>
      <c r="AC170" s="5" t="s">
        <v>3360</v>
      </c>
      <c r="AD170" s="5" t="s">
        <v>3361</v>
      </c>
      <c r="AE170" s="5" t="s">
        <v>3362</v>
      </c>
      <c r="AF170" s="5">
        <v>42</v>
      </c>
      <c r="AG170" s="5">
        <v>15</v>
      </c>
      <c r="AH170" s="5">
        <v>16</v>
      </c>
      <c r="AI170" s="5">
        <v>1</v>
      </c>
      <c r="AJ170" s="5">
        <v>36</v>
      </c>
      <c r="AK170" s="5" t="s">
        <v>1623</v>
      </c>
      <c r="AL170" s="5" t="s">
        <v>1624</v>
      </c>
      <c r="AM170" s="5" t="s">
        <v>1625</v>
      </c>
      <c r="AN170" s="5" t="s">
        <v>1626</v>
      </c>
      <c r="AO170" s="5" t="s">
        <v>1627</v>
      </c>
      <c r="AP170" s="5" t="s">
        <v>21</v>
      </c>
      <c r="AQ170" s="5" t="s">
        <v>1628</v>
      </c>
      <c r="AR170" s="5" t="s">
        <v>1629</v>
      </c>
      <c r="AS170" s="5" t="s">
        <v>543</v>
      </c>
      <c r="AT170" s="5">
        <v>2021</v>
      </c>
      <c r="AU170" s="5">
        <v>20</v>
      </c>
      <c r="AV170" s="5">
        <v>4</v>
      </c>
      <c r="AW170" s="5" t="s">
        <v>21</v>
      </c>
      <c r="AX170" s="5" t="s">
        <v>21</v>
      </c>
      <c r="AY170" s="5" t="s">
        <v>501</v>
      </c>
      <c r="AZ170" s="5" t="s">
        <v>21</v>
      </c>
      <c r="BA170" s="5">
        <v>785</v>
      </c>
      <c r="BB170" s="5">
        <v>795</v>
      </c>
      <c r="BC170" s="5" t="s">
        <v>21</v>
      </c>
      <c r="BD170" s="5" t="s">
        <v>3363</v>
      </c>
      <c r="BE170" s="5" t="str">
        <f>HYPERLINK("http://dx.doi.org/10.1007/s10209-020-00749-0","http://dx.doi.org/10.1007/s10209-020-00749-0")</f>
        <v>http://dx.doi.org/10.1007/s10209-020-00749-0</v>
      </c>
      <c r="BF170" s="5" t="s">
        <v>21</v>
      </c>
      <c r="BG170" s="5" t="s">
        <v>1800</v>
      </c>
      <c r="BH170" s="5">
        <v>11</v>
      </c>
      <c r="BI170" s="5" t="s">
        <v>1580</v>
      </c>
      <c r="BJ170" s="5" t="s">
        <v>92</v>
      </c>
      <c r="BK170" s="5" t="s">
        <v>1581</v>
      </c>
      <c r="BL170" s="5" t="s">
        <v>3364</v>
      </c>
      <c r="BM170" s="5" t="s">
        <v>21</v>
      </c>
      <c r="BN170" s="5" t="s">
        <v>1076</v>
      </c>
      <c r="BO170" s="5" t="s">
        <v>21</v>
      </c>
      <c r="BP170" s="5" t="s">
        <v>21</v>
      </c>
      <c r="BQ170" s="5" t="s">
        <v>49</v>
      </c>
      <c r="BR170" s="5" t="s">
        <v>3365</v>
      </c>
      <c r="BS170" s="5" t="str">
        <f>HYPERLINK("https%3A%2F%2Fwww.webofscience.com%2Fwos%2Fwoscc%2Ffull-record%2FWOS:000552617900001","View Full Record in Web of Science")</f>
        <v>View Full Record in Web of Science</v>
      </c>
    </row>
    <row r="171" spans="1:71" x14ac:dyDescent="0.25">
      <c r="A171" t="s">
        <v>19</v>
      </c>
      <c r="B171" s="5" t="s">
        <v>3366</v>
      </c>
      <c r="C171" s="5" t="s">
        <v>21</v>
      </c>
      <c r="D171" s="5" t="s">
        <v>21</v>
      </c>
      <c r="E171" s="5" t="s">
        <v>21</v>
      </c>
      <c r="F171" s="5" t="s">
        <v>3367</v>
      </c>
      <c r="G171" s="5" t="s">
        <v>21</v>
      </c>
      <c r="H171" s="5" t="s">
        <v>21</v>
      </c>
      <c r="I171" s="5" t="s">
        <v>3368</v>
      </c>
      <c r="J171" s="12" t="s">
        <v>3369</v>
      </c>
      <c r="K171" s="5" t="s">
        <v>21</v>
      </c>
      <c r="L171" s="5" t="s">
        <v>21</v>
      </c>
      <c r="M171" s="5" t="s">
        <v>25</v>
      </c>
      <c r="N171" s="5" t="s">
        <v>26</v>
      </c>
      <c r="O171" s="5" t="s">
        <v>21</v>
      </c>
      <c r="P171" s="5" t="s">
        <v>21</v>
      </c>
      <c r="Q171" s="5" t="s">
        <v>21</v>
      </c>
      <c r="R171" s="5" t="s">
        <v>21</v>
      </c>
      <c r="S171" s="5" t="s">
        <v>21</v>
      </c>
      <c r="T171" s="5" t="s">
        <v>3370</v>
      </c>
      <c r="U171" s="5" t="s">
        <v>3371</v>
      </c>
      <c r="V171" s="5" t="s">
        <v>3372</v>
      </c>
      <c r="W171" s="5" t="s">
        <v>3373</v>
      </c>
      <c r="X171" s="5" t="s">
        <v>3374</v>
      </c>
      <c r="Y171" s="5" t="s">
        <v>3375</v>
      </c>
      <c r="Z171" s="5" t="s">
        <v>3376</v>
      </c>
      <c r="AA171" s="5" t="s">
        <v>3377</v>
      </c>
      <c r="AB171" s="5" t="s">
        <v>3378</v>
      </c>
      <c r="AC171" s="5" t="s">
        <v>3379</v>
      </c>
      <c r="AD171" s="5" t="s">
        <v>1646</v>
      </c>
      <c r="AE171" s="5" t="s">
        <v>3380</v>
      </c>
      <c r="AF171" s="5">
        <v>44</v>
      </c>
      <c r="AG171" s="5">
        <v>15</v>
      </c>
      <c r="AH171" s="5">
        <v>15</v>
      </c>
      <c r="AI171" s="5">
        <v>8</v>
      </c>
      <c r="AJ171" s="5">
        <v>52</v>
      </c>
      <c r="AK171" s="5" t="s">
        <v>904</v>
      </c>
      <c r="AL171" s="5" t="s">
        <v>1497</v>
      </c>
      <c r="AM171" s="5" t="s">
        <v>1498</v>
      </c>
      <c r="AN171" s="5" t="s">
        <v>3381</v>
      </c>
      <c r="AO171" s="5" t="s">
        <v>3382</v>
      </c>
      <c r="AP171" s="5" t="s">
        <v>21</v>
      </c>
      <c r="AQ171" s="5" t="s">
        <v>3383</v>
      </c>
      <c r="AR171" s="5" t="s">
        <v>3384</v>
      </c>
      <c r="AS171" s="5" t="s">
        <v>69</v>
      </c>
      <c r="AT171" s="5">
        <v>2021</v>
      </c>
      <c r="AU171" s="5">
        <v>80</v>
      </c>
      <c r="AV171" s="5">
        <v>11</v>
      </c>
      <c r="AW171" s="5" t="s">
        <v>21</v>
      </c>
      <c r="AX171" s="5" t="s">
        <v>21</v>
      </c>
      <c r="AY171" s="5" t="s">
        <v>21</v>
      </c>
      <c r="AZ171" s="5" t="s">
        <v>21</v>
      </c>
      <c r="BA171" s="5">
        <v>16827</v>
      </c>
      <c r="BB171" s="5">
        <v>16856</v>
      </c>
      <c r="BC171" s="5" t="s">
        <v>21</v>
      </c>
      <c r="BD171" s="5" t="s">
        <v>3385</v>
      </c>
      <c r="BE171" s="5" t="str">
        <f>HYPERLINK("http://dx.doi.org/10.1007/s11042-020-09051-w","http://dx.doi.org/10.1007/s11042-020-09051-w")</f>
        <v>http://dx.doi.org/10.1007/s11042-020-09051-w</v>
      </c>
      <c r="BF171" s="5" t="s">
        <v>21</v>
      </c>
      <c r="BG171" s="5" t="s">
        <v>1631</v>
      </c>
      <c r="BH171" s="5">
        <v>30</v>
      </c>
      <c r="BI171" s="5" t="s">
        <v>3386</v>
      </c>
      <c r="BJ171" s="5" t="s">
        <v>92</v>
      </c>
      <c r="BK171" s="5" t="s">
        <v>1581</v>
      </c>
      <c r="BL171" s="5" t="s">
        <v>3387</v>
      </c>
      <c r="BM171" s="5" t="s">
        <v>21</v>
      </c>
      <c r="BN171" s="5" t="s">
        <v>21</v>
      </c>
      <c r="BO171" s="5" t="s">
        <v>21</v>
      </c>
      <c r="BP171" s="5" t="s">
        <v>21</v>
      </c>
      <c r="BQ171" s="5" t="s">
        <v>49</v>
      </c>
      <c r="BR171" s="5" t="s">
        <v>3388</v>
      </c>
      <c r="BS171" s="5" t="str">
        <f>HYPERLINK("https%3A%2F%2Fwww.webofscience.com%2Fwos%2Fwoscc%2Ffull-record%2FWOS:000537042100002","View Full Record in Web of Science")</f>
        <v>View Full Record in Web of Science</v>
      </c>
    </row>
    <row r="172" spans="1:71" x14ac:dyDescent="0.25">
      <c r="A172" t="s">
        <v>19</v>
      </c>
      <c r="B172" s="5" t="s">
        <v>3389</v>
      </c>
      <c r="C172" s="5" t="s">
        <v>21</v>
      </c>
      <c r="D172" s="5" t="s">
        <v>21</v>
      </c>
      <c r="E172" s="5" t="s">
        <v>21</v>
      </c>
      <c r="F172" s="5" t="s">
        <v>3390</v>
      </c>
      <c r="G172" s="5" t="s">
        <v>21</v>
      </c>
      <c r="H172" s="5" t="s">
        <v>21</v>
      </c>
      <c r="I172" s="5" t="s">
        <v>3391</v>
      </c>
      <c r="J172" s="12" t="s">
        <v>2693</v>
      </c>
      <c r="K172" s="5" t="s">
        <v>21</v>
      </c>
      <c r="L172" s="5" t="s">
        <v>21</v>
      </c>
      <c r="M172" s="5" t="s">
        <v>25</v>
      </c>
      <c r="N172" s="5" t="s">
        <v>26</v>
      </c>
      <c r="O172" s="5" t="s">
        <v>21</v>
      </c>
      <c r="P172" s="5" t="s">
        <v>21</v>
      </c>
      <c r="Q172" s="5" t="s">
        <v>21</v>
      </c>
      <c r="R172" s="5" t="s">
        <v>21</v>
      </c>
      <c r="S172" s="5" t="s">
        <v>21</v>
      </c>
      <c r="T172" s="5" t="s">
        <v>3392</v>
      </c>
      <c r="U172" s="5" t="s">
        <v>3393</v>
      </c>
      <c r="V172" s="5" t="s">
        <v>3394</v>
      </c>
      <c r="W172" s="5" t="s">
        <v>3395</v>
      </c>
      <c r="X172" s="5" t="s">
        <v>3396</v>
      </c>
      <c r="Y172" s="5" t="s">
        <v>3397</v>
      </c>
      <c r="Z172" s="5" t="s">
        <v>3398</v>
      </c>
      <c r="AA172" s="5" t="s">
        <v>3399</v>
      </c>
      <c r="AB172" s="5" t="s">
        <v>3400</v>
      </c>
      <c r="AC172" s="5" t="s">
        <v>21</v>
      </c>
      <c r="AD172" s="5" t="s">
        <v>21</v>
      </c>
      <c r="AE172" s="5" t="s">
        <v>21</v>
      </c>
      <c r="AF172" s="5">
        <v>29</v>
      </c>
      <c r="AG172" s="5">
        <v>15</v>
      </c>
      <c r="AH172" s="5">
        <v>16</v>
      </c>
      <c r="AI172" s="5">
        <v>6</v>
      </c>
      <c r="AJ172" s="5">
        <v>76</v>
      </c>
      <c r="AK172" s="5" t="s">
        <v>2706</v>
      </c>
      <c r="AL172" s="5" t="s">
        <v>494</v>
      </c>
      <c r="AM172" s="5" t="s">
        <v>2707</v>
      </c>
      <c r="AN172" s="5" t="s">
        <v>2708</v>
      </c>
      <c r="AO172" s="5" t="s">
        <v>2709</v>
      </c>
      <c r="AP172" s="5" t="s">
        <v>21</v>
      </c>
      <c r="AQ172" s="5" t="s">
        <v>2710</v>
      </c>
      <c r="AR172" s="5" t="s">
        <v>2711</v>
      </c>
      <c r="AS172" s="5" t="s">
        <v>3401</v>
      </c>
      <c r="AT172" s="5">
        <v>2019</v>
      </c>
      <c r="AU172" s="5">
        <v>65</v>
      </c>
      <c r="AV172" s="5">
        <v>5</v>
      </c>
      <c r="AW172" s="5" t="s">
        <v>21</v>
      </c>
      <c r="AX172" s="5" t="s">
        <v>21</v>
      </c>
      <c r="AY172" s="5" t="s">
        <v>501</v>
      </c>
      <c r="AZ172" s="5" t="s">
        <v>21</v>
      </c>
      <c r="BA172" s="5">
        <v>327</v>
      </c>
      <c r="BB172" s="5">
        <v>336</v>
      </c>
      <c r="BC172" s="5" t="s">
        <v>21</v>
      </c>
      <c r="BD172" s="5" t="s">
        <v>3402</v>
      </c>
      <c r="BE172" s="5" t="str">
        <f>HYPERLINK("http://dx.doi.org/10.1080/20473869.2019.1602350","http://dx.doi.org/10.1080/20473869.2019.1602350")</f>
        <v>http://dx.doi.org/10.1080/20473869.2019.1602350</v>
      </c>
      <c r="BF172" s="5" t="s">
        <v>21</v>
      </c>
      <c r="BG172" s="5" t="s">
        <v>21</v>
      </c>
      <c r="BH172" s="5">
        <v>10</v>
      </c>
      <c r="BI172" s="5" t="s">
        <v>887</v>
      </c>
      <c r="BJ172" s="5" t="s">
        <v>45</v>
      </c>
      <c r="BK172" s="5" t="s">
        <v>888</v>
      </c>
      <c r="BL172" s="5" t="s">
        <v>3403</v>
      </c>
      <c r="BM172" s="5">
        <v>34141356</v>
      </c>
      <c r="BN172" s="5" t="s">
        <v>1302</v>
      </c>
      <c r="BO172" s="5" t="s">
        <v>21</v>
      </c>
      <c r="BP172" s="5" t="s">
        <v>21</v>
      </c>
      <c r="BQ172" s="5" t="s">
        <v>49</v>
      </c>
      <c r="BR172" s="5" t="s">
        <v>3404</v>
      </c>
      <c r="BS172" s="5" t="str">
        <f>HYPERLINK("https%3A%2F%2Fwww.webofscience.com%2Fwos%2Fwoscc%2Ffull-record%2FWOS:000490406700003","View Full Record in Web of Science")</f>
        <v>View Full Record in Web of Science</v>
      </c>
    </row>
    <row r="173" spans="1:71" x14ac:dyDescent="0.25">
      <c r="A173" t="s">
        <v>19</v>
      </c>
      <c r="B173" s="5" t="s">
        <v>3405</v>
      </c>
      <c r="C173" s="5" t="s">
        <v>21</v>
      </c>
      <c r="D173" s="5" t="s">
        <v>21</v>
      </c>
      <c r="E173" s="5" t="s">
        <v>21</v>
      </c>
      <c r="F173" s="5" t="s">
        <v>3406</v>
      </c>
      <c r="G173" s="5" t="s">
        <v>21</v>
      </c>
      <c r="H173" s="5" t="s">
        <v>21</v>
      </c>
      <c r="I173" s="5" t="s">
        <v>3407</v>
      </c>
      <c r="J173" s="12" t="s">
        <v>3408</v>
      </c>
      <c r="K173" s="5" t="s">
        <v>21</v>
      </c>
      <c r="L173" s="5" t="s">
        <v>21</v>
      </c>
      <c r="M173" s="5" t="s">
        <v>25</v>
      </c>
      <c r="N173" s="5" t="s">
        <v>26</v>
      </c>
      <c r="O173" s="5" t="s">
        <v>21</v>
      </c>
      <c r="P173" s="5" t="s">
        <v>21</v>
      </c>
      <c r="Q173" s="5" t="s">
        <v>21</v>
      </c>
      <c r="R173" s="5" t="s">
        <v>21</v>
      </c>
      <c r="S173" s="5" t="s">
        <v>21</v>
      </c>
      <c r="T173" s="5" t="s">
        <v>3409</v>
      </c>
      <c r="U173" s="5" t="s">
        <v>3410</v>
      </c>
      <c r="V173" s="5" t="s">
        <v>3411</v>
      </c>
      <c r="W173" s="5" t="s">
        <v>3412</v>
      </c>
      <c r="X173" s="5" t="s">
        <v>3413</v>
      </c>
      <c r="Y173" s="5" t="s">
        <v>3414</v>
      </c>
      <c r="Z173" s="5" t="s">
        <v>490</v>
      </c>
      <c r="AA173" s="5" t="s">
        <v>3415</v>
      </c>
      <c r="AB173" s="5" t="s">
        <v>3416</v>
      </c>
      <c r="AC173" s="5" t="s">
        <v>21</v>
      </c>
      <c r="AD173" s="5" t="s">
        <v>21</v>
      </c>
      <c r="AE173" s="5" t="s">
        <v>21</v>
      </c>
      <c r="AF173" s="5">
        <v>40</v>
      </c>
      <c r="AG173" s="5">
        <v>15</v>
      </c>
      <c r="AH173" s="5">
        <v>16</v>
      </c>
      <c r="AI173" s="5">
        <v>4</v>
      </c>
      <c r="AJ173" s="5">
        <v>72</v>
      </c>
      <c r="AK173" s="5" t="s">
        <v>733</v>
      </c>
      <c r="AL173" s="5" t="s">
        <v>734</v>
      </c>
      <c r="AM173" s="5" t="s">
        <v>735</v>
      </c>
      <c r="AN173" s="5" t="s">
        <v>3417</v>
      </c>
      <c r="AO173" s="5" t="s">
        <v>3418</v>
      </c>
      <c r="AP173" s="5" t="s">
        <v>21</v>
      </c>
      <c r="AQ173" s="5" t="s">
        <v>3419</v>
      </c>
      <c r="AR173" s="5" t="s">
        <v>3420</v>
      </c>
      <c r="AS173" s="5" t="s">
        <v>334</v>
      </c>
      <c r="AT173" s="5">
        <v>2015</v>
      </c>
      <c r="AU173" s="5">
        <v>48</v>
      </c>
      <c r="AV173" s="5">
        <v>4</v>
      </c>
      <c r="AW173" s="5" t="s">
        <v>21</v>
      </c>
      <c r="AX173" s="5" t="s">
        <v>21</v>
      </c>
      <c r="AY173" s="5" t="s">
        <v>21</v>
      </c>
      <c r="AZ173" s="5" t="s">
        <v>21</v>
      </c>
      <c r="BA173" s="5">
        <v>290</v>
      </c>
      <c r="BB173" s="5">
        <v>300</v>
      </c>
      <c r="BC173" s="5" t="s">
        <v>21</v>
      </c>
      <c r="BD173" s="5" t="s">
        <v>3421</v>
      </c>
      <c r="BE173" s="5" t="str">
        <f>HYPERLINK("http://dx.doi.org/10.1177/0022466913498773","http://dx.doi.org/10.1177/0022466913498773")</f>
        <v>http://dx.doi.org/10.1177/0022466913498773</v>
      </c>
      <c r="BF173" s="5" t="s">
        <v>21</v>
      </c>
      <c r="BG173" s="5" t="s">
        <v>21</v>
      </c>
      <c r="BH173" s="5">
        <v>11</v>
      </c>
      <c r="BI173" s="5" t="s">
        <v>1480</v>
      </c>
      <c r="BJ173" s="5" t="s">
        <v>45</v>
      </c>
      <c r="BK173" s="5" t="s">
        <v>503</v>
      </c>
      <c r="BL173" s="5" t="s">
        <v>3422</v>
      </c>
      <c r="BM173" s="5" t="s">
        <v>21</v>
      </c>
      <c r="BN173" s="5" t="s">
        <v>21</v>
      </c>
      <c r="BO173" s="5" t="s">
        <v>21</v>
      </c>
      <c r="BP173" s="5" t="s">
        <v>21</v>
      </c>
      <c r="BQ173" s="5" t="s">
        <v>49</v>
      </c>
      <c r="BR173" s="5" t="s">
        <v>3423</v>
      </c>
      <c r="BS173" s="5" t="str">
        <f>HYPERLINK("https%3A%2F%2Fwww.webofscience.com%2Fwos%2Fwoscc%2Ffull-record%2FWOS:000346822600006","View Full Record in Web of Science")</f>
        <v>View Full Record in Web of Science</v>
      </c>
    </row>
    <row r="174" spans="1:71" x14ac:dyDescent="0.25">
      <c r="A174" t="s">
        <v>19</v>
      </c>
      <c r="B174" s="5" t="s">
        <v>3424</v>
      </c>
      <c r="C174" s="5" t="s">
        <v>21</v>
      </c>
      <c r="D174" s="5" t="s">
        <v>21</v>
      </c>
      <c r="E174" s="5" t="s">
        <v>21</v>
      </c>
      <c r="F174" s="5" t="s">
        <v>3425</v>
      </c>
      <c r="G174" s="5" t="s">
        <v>21</v>
      </c>
      <c r="H174" s="5" t="s">
        <v>21</v>
      </c>
      <c r="I174" s="5" t="s">
        <v>3426</v>
      </c>
      <c r="J174" s="12" t="s">
        <v>3427</v>
      </c>
      <c r="K174" s="5" t="s">
        <v>21</v>
      </c>
      <c r="L174" s="5" t="s">
        <v>21</v>
      </c>
      <c r="M174" s="5" t="s">
        <v>25</v>
      </c>
      <c r="N174" s="5" t="s">
        <v>26</v>
      </c>
      <c r="O174" s="5" t="s">
        <v>21</v>
      </c>
      <c r="P174" s="5" t="s">
        <v>21</v>
      </c>
      <c r="Q174" s="5" t="s">
        <v>21</v>
      </c>
      <c r="R174" s="5" t="s">
        <v>21</v>
      </c>
      <c r="S174" s="5" t="s">
        <v>21</v>
      </c>
      <c r="T174" s="5" t="s">
        <v>3428</v>
      </c>
      <c r="U174" s="5" t="s">
        <v>3429</v>
      </c>
      <c r="V174" s="5" t="s">
        <v>3430</v>
      </c>
      <c r="W174" s="5" t="s">
        <v>3431</v>
      </c>
      <c r="X174" s="5" t="s">
        <v>3432</v>
      </c>
      <c r="Y174" s="5" t="s">
        <v>3433</v>
      </c>
      <c r="Z174" s="5" t="s">
        <v>1571</v>
      </c>
      <c r="AA174" s="5" t="s">
        <v>1451</v>
      </c>
      <c r="AB174" s="5" t="s">
        <v>1572</v>
      </c>
      <c r="AC174" s="5" t="s">
        <v>21</v>
      </c>
      <c r="AD174" s="5" t="s">
        <v>21</v>
      </c>
      <c r="AE174" s="5" t="s">
        <v>21</v>
      </c>
      <c r="AF174" s="5">
        <v>40</v>
      </c>
      <c r="AG174" s="5">
        <v>14</v>
      </c>
      <c r="AH174" s="5">
        <v>14</v>
      </c>
      <c r="AI174" s="5">
        <v>4</v>
      </c>
      <c r="AJ174" s="5">
        <v>29</v>
      </c>
      <c r="AK174" s="5" t="s">
        <v>904</v>
      </c>
      <c r="AL174" s="5" t="s">
        <v>1497</v>
      </c>
      <c r="AM174" s="5" t="s">
        <v>1498</v>
      </c>
      <c r="AN174" s="5" t="s">
        <v>3434</v>
      </c>
      <c r="AO174" s="5" t="s">
        <v>3435</v>
      </c>
      <c r="AP174" s="5" t="s">
        <v>21</v>
      </c>
      <c r="AQ174" s="5" t="s">
        <v>3436</v>
      </c>
      <c r="AR174" s="5" t="s">
        <v>3437</v>
      </c>
      <c r="AS174" s="5" t="s">
        <v>89</v>
      </c>
      <c r="AT174" s="5">
        <v>2023</v>
      </c>
      <c r="AU174" s="5">
        <v>28</v>
      </c>
      <c r="AV174" s="5">
        <v>2</v>
      </c>
      <c r="AW174" s="5" t="s">
        <v>21</v>
      </c>
      <c r="AX174" s="5" t="s">
        <v>21</v>
      </c>
      <c r="AY174" s="5" t="s">
        <v>21</v>
      </c>
      <c r="AZ174" s="5" t="s">
        <v>21</v>
      </c>
      <c r="BA174" s="5">
        <v>925</v>
      </c>
      <c r="BB174" s="5">
        <v>935</v>
      </c>
      <c r="BC174" s="5" t="s">
        <v>21</v>
      </c>
      <c r="BD174" s="5" t="s">
        <v>3438</v>
      </c>
      <c r="BE174" s="5" t="str">
        <f>HYPERLINK("http://dx.doi.org/10.1007/s10758-022-09594-x","http://dx.doi.org/10.1007/s10758-022-09594-x")</f>
        <v>http://dx.doi.org/10.1007/s10758-022-09594-x</v>
      </c>
      <c r="BF174" s="5" t="s">
        <v>21</v>
      </c>
      <c r="BG174" s="5" t="s">
        <v>3439</v>
      </c>
      <c r="BH174" s="5">
        <v>11</v>
      </c>
      <c r="BI174" s="5" t="s">
        <v>503</v>
      </c>
      <c r="BJ174" s="5" t="s">
        <v>1907</v>
      </c>
      <c r="BK174" s="5" t="s">
        <v>503</v>
      </c>
      <c r="BL174" s="5" t="s">
        <v>3440</v>
      </c>
      <c r="BM174" s="5" t="s">
        <v>21</v>
      </c>
      <c r="BN174" s="5" t="s">
        <v>21</v>
      </c>
      <c r="BO174" s="5" t="s">
        <v>21</v>
      </c>
      <c r="BP174" s="5" t="s">
        <v>21</v>
      </c>
      <c r="BQ174" s="5" t="s">
        <v>49</v>
      </c>
      <c r="BR174" s="5" t="s">
        <v>3441</v>
      </c>
      <c r="BS174" s="5" t="str">
        <f>HYPERLINK("https%3A%2F%2Fwww.webofscience.com%2Fwos%2Fwoscc%2Ffull-record%2FWOS:000773805000002","View Full Record in Web of Science")</f>
        <v>View Full Record in Web of Science</v>
      </c>
    </row>
    <row r="175" spans="1:71" x14ac:dyDescent="0.25">
      <c r="A175" t="s">
        <v>19</v>
      </c>
      <c r="B175" s="5" t="s">
        <v>3442</v>
      </c>
      <c r="C175" s="5" t="s">
        <v>21</v>
      </c>
      <c r="D175" s="5" t="s">
        <v>21</v>
      </c>
      <c r="E175" s="5" t="s">
        <v>21</v>
      </c>
      <c r="F175" s="5" t="s">
        <v>3443</v>
      </c>
      <c r="G175" s="5" t="s">
        <v>21</v>
      </c>
      <c r="H175" s="5" t="s">
        <v>21</v>
      </c>
      <c r="I175" s="5" t="s">
        <v>3444</v>
      </c>
      <c r="J175" s="12" t="s">
        <v>3445</v>
      </c>
      <c r="K175" s="5" t="s">
        <v>21</v>
      </c>
      <c r="L175" s="5" t="s">
        <v>21</v>
      </c>
      <c r="M175" s="5" t="s">
        <v>25</v>
      </c>
      <c r="N175" s="5" t="s">
        <v>26</v>
      </c>
      <c r="O175" s="5" t="s">
        <v>21</v>
      </c>
      <c r="P175" s="5" t="s">
        <v>21</v>
      </c>
      <c r="Q175" s="5" t="s">
        <v>21</v>
      </c>
      <c r="R175" s="5" t="s">
        <v>21</v>
      </c>
      <c r="S175" s="5" t="s">
        <v>21</v>
      </c>
      <c r="T175" s="5" t="s">
        <v>3446</v>
      </c>
      <c r="U175" s="5" t="s">
        <v>3447</v>
      </c>
      <c r="V175" s="5" t="s">
        <v>3448</v>
      </c>
      <c r="W175" s="5" t="s">
        <v>3449</v>
      </c>
      <c r="X175" s="5" t="s">
        <v>3450</v>
      </c>
      <c r="Y175" s="5" t="s">
        <v>3451</v>
      </c>
      <c r="Z175" s="5" t="s">
        <v>3452</v>
      </c>
      <c r="AA175" s="5" t="s">
        <v>3453</v>
      </c>
      <c r="AB175" s="5" t="s">
        <v>3454</v>
      </c>
      <c r="AC175" s="5" t="s">
        <v>21</v>
      </c>
      <c r="AD175" s="5" t="s">
        <v>21</v>
      </c>
      <c r="AE175" s="5" t="s">
        <v>21</v>
      </c>
      <c r="AF175" s="5">
        <v>88</v>
      </c>
      <c r="AG175" s="5">
        <v>14</v>
      </c>
      <c r="AH175" s="5">
        <v>14</v>
      </c>
      <c r="AI175" s="5">
        <v>1</v>
      </c>
      <c r="AJ175" s="5">
        <v>26</v>
      </c>
      <c r="AK175" s="5" t="s">
        <v>1623</v>
      </c>
      <c r="AL175" s="5" t="s">
        <v>1624</v>
      </c>
      <c r="AM175" s="5" t="s">
        <v>1625</v>
      </c>
      <c r="AN175" s="5" t="s">
        <v>3455</v>
      </c>
      <c r="AO175" s="5" t="s">
        <v>3456</v>
      </c>
      <c r="AP175" s="5" t="s">
        <v>21</v>
      </c>
      <c r="AQ175" s="5" t="s">
        <v>3457</v>
      </c>
      <c r="AR175" s="5" t="s">
        <v>3458</v>
      </c>
      <c r="AS175" s="5" t="s">
        <v>89</v>
      </c>
      <c r="AT175" s="5">
        <v>2022</v>
      </c>
      <c r="AU175" s="5">
        <v>9</v>
      </c>
      <c r="AV175" s="5">
        <v>2</v>
      </c>
      <c r="AW175" s="5" t="s">
        <v>21</v>
      </c>
      <c r="AX175" s="5" t="s">
        <v>21</v>
      </c>
      <c r="AY175" s="5" t="s">
        <v>21</v>
      </c>
      <c r="AZ175" s="5" t="s">
        <v>21</v>
      </c>
      <c r="BA175" s="5">
        <v>225</v>
      </c>
      <c r="BB175" s="5">
        <v>260</v>
      </c>
      <c r="BC175" s="5" t="s">
        <v>21</v>
      </c>
      <c r="BD175" s="5" t="s">
        <v>3459</v>
      </c>
      <c r="BE175" s="5" t="str">
        <f>HYPERLINK("http://dx.doi.org/10.1007/s40692-021-00202-y","http://dx.doi.org/10.1007/s40692-021-00202-y")</f>
        <v>http://dx.doi.org/10.1007/s40692-021-00202-y</v>
      </c>
      <c r="BF175" s="5" t="s">
        <v>21</v>
      </c>
      <c r="BG175" s="5" t="s">
        <v>1579</v>
      </c>
      <c r="BH175" s="5">
        <v>36</v>
      </c>
      <c r="BI175" s="5" t="s">
        <v>503</v>
      </c>
      <c r="BJ175" s="5" t="s">
        <v>1907</v>
      </c>
      <c r="BK175" s="5" t="s">
        <v>503</v>
      </c>
      <c r="BL175" s="5" t="s">
        <v>3460</v>
      </c>
      <c r="BM175" s="5" t="s">
        <v>21</v>
      </c>
      <c r="BN175" s="5" t="s">
        <v>21</v>
      </c>
      <c r="BO175" s="5" t="s">
        <v>21</v>
      </c>
      <c r="BP175" s="5" t="s">
        <v>21</v>
      </c>
      <c r="BQ175" s="5" t="s">
        <v>49</v>
      </c>
      <c r="BR175" s="5" t="s">
        <v>3461</v>
      </c>
      <c r="BS175" s="5" t="str">
        <f>HYPERLINK("https%3A%2F%2Fwww.webofscience.com%2Fwos%2Fwoscc%2Ffull-record%2FWOS:000693894600001","View Full Record in Web of Science")</f>
        <v>View Full Record in Web of Science</v>
      </c>
    </row>
    <row r="176" spans="1:71" x14ac:dyDescent="0.25">
      <c r="A176" t="s">
        <v>19</v>
      </c>
      <c r="B176" s="5" t="s">
        <v>3462</v>
      </c>
      <c r="C176" s="5" t="s">
        <v>21</v>
      </c>
      <c r="D176" s="5" t="s">
        <v>21</v>
      </c>
      <c r="E176" s="5" t="s">
        <v>21</v>
      </c>
      <c r="F176" s="5" t="s">
        <v>3463</v>
      </c>
      <c r="G176" s="5" t="s">
        <v>21</v>
      </c>
      <c r="H176" s="5" t="s">
        <v>21</v>
      </c>
      <c r="I176" s="5" t="s">
        <v>3464</v>
      </c>
      <c r="J176" s="12" t="s">
        <v>3465</v>
      </c>
      <c r="K176" s="5" t="s">
        <v>21</v>
      </c>
      <c r="L176" s="5" t="s">
        <v>21</v>
      </c>
      <c r="M176" s="5" t="s">
        <v>25</v>
      </c>
      <c r="N176" s="5" t="s">
        <v>26</v>
      </c>
      <c r="O176" s="5" t="s">
        <v>21</v>
      </c>
      <c r="P176" s="5" t="s">
        <v>21</v>
      </c>
      <c r="Q176" s="5" t="s">
        <v>21</v>
      </c>
      <c r="R176" s="5" t="s">
        <v>21</v>
      </c>
      <c r="S176" s="5" t="s">
        <v>21</v>
      </c>
      <c r="T176" s="5" t="s">
        <v>3466</v>
      </c>
      <c r="U176" s="5" t="s">
        <v>3467</v>
      </c>
      <c r="V176" s="5" t="s">
        <v>3468</v>
      </c>
      <c r="W176" s="5" t="s">
        <v>3469</v>
      </c>
      <c r="X176" s="5" t="s">
        <v>554</v>
      </c>
      <c r="Y176" s="5" t="s">
        <v>3470</v>
      </c>
      <c r="Z176" s="5" t="s">
        <v>3471</v>
      </c>
      <c r="AA176" s="5" t="s">
        <v>3472</v>
      </c>
      <c r="AB176" s="5" t="s">
        <v>3473</v>
      </c>
      <c r="AC176" s="5" t="s">
        <v>3474</v>
      </c>
      <c r="AD176" s="5" t="s">
        <v>3475</v>
      </c>
      <c r="AE176" s="5" t="s">
        <v>3476</v>
      </c>
      <c r="AF176" s="5">
        <v>66</v>
      </c>
      <c r="AG176" s="5">
        <v>14</v>
      </c>
      <c r="AH176" s="5">
        <v>15</v>
      </c>
      <c r="AI176" s="5">
        <v>6</v>
      </c>
      <c r="AJ176" s="5">
        <v>42</v>
      </c>
      <c r="AK176" s="5" t="s">
        <v>1377</v>
      </c>
      <c r="AL176" s="5" t="s">
        <v>64</v>
      </c>
      <c r="AM176" s="5" t="s">
        <v>1378</v>
      </c>
      <c r="AN176" s="5" t="s">
        <v>21</v>
      </c>
      <c r="AO176" s="5" t="s">
        <v>3477</v>
      </c>
      <c r="AP176" s="5" t="s">
        <v>21</v>
      </c>
      <c r="AQ176" s="5" t="s">
        <v>3465</v>
      </c>
      <c r="AR176" s="5" t="s">
        <v>3478</v>
      </c>
      <c r="AS176" s="5" t="s">
        <v>3479</v>
      </c>
      <c r="AT176" s="5">
        <v>2020</v>
      </c>
      <c r="AU176" s="5">
        <v>21</v>
      </c>
      <c r="AV176" s="5">
        <v>1</v>
      </c>
      <c r="AW176" s="5" t="s">
        <v>21</v>
      </c>
      <c r="AX176" s="5" t="s">
        <v>21</v>
      </c>
      <c r="AY176" s="5" t="s">
        <v>21</v>
      </c>
      <c r="AZ176" s="5" t="s">
        <v>21</v>
      </c>
      <c r="BA176" s="5" t="s">
        <v>21</v>
      </c>
      <c r="BB176" s="5" t="s">
        <v>21</v>
      </c>
      <c r="BC176" s="5">
        <v>265</v>
      </c>
      <c r="BD176" s="5" t="s">
        <v>3480</v>
      </c>
      <c r="BE176" s="5" t="str">
        <f>HYPERLINK("http://dx.doi.org/10.1186/s13063-020-4161-2","http://dx.doi.org/10.1186/s13063-020-4161-2")</f>
        <v>http://dx.doi.org/10.1186/s13063-020-4161-2</v>
      </c>
      <c r="BF176" s="5" t="s">
        <v>21</v>
      </c>
      <c r="BG176" s="5" t="s">
        <v>21</v>
      </c>
      <c r="BH176" s="5">
        <v>14</v>
      </c>
      <c r="BI176" s="5" t="s">
        <v>3481</v>
      </c>
      <c r="BJ176" s="5" t="s">
        <v>92</v>
      </c>
      <c r="BK176" s="5" t="s">
        <v>3482</v>
      </c>
      <c r="BL176" s="5" t="s">
        <v>3483</v>
      </c>
      <c r="BM176" s="5">
        <v>32171316</v>
      </c>
      <c r="BN176" s="5" t="s">
        <v>864</v>
      </c>
      <c r="BO176" s="5" t="s">
        <v>21</v>
      </c>
      <c r="BP176" s="5" t="s">
        <v>21</v>
      </c>
      <c r="BQ176" s="5" t="s">
        <v>49</v>
      </c>
      <c r="BR176" s="5" t="s">
        <v>3484</v>
      </c>
      <c r="BS176" s="5" t="str">
        <f>HYPERLINK("https%3A%2F%2Fwww.webofscience.com%2Fwos%2Fwoscc%2Ffull-record%2FWOS:000520968300002","View Full Record in Web of Science")</f>
        <v>View Full Record in Web of Science</v>
      </c>
    </row>
    <row r="177" spans="1:71" x14ac:dyDescent="0.25">
      <c r="A177" t="s">
        <v>19</v>
      </c>
      <c r="B177" s="5" t="s">
        <v>3485</v>
      </c>
      <c r="C177" s="5" t="s">
        <v>21</v>
      </c>
      <c r="D177" s="5" t="s">
        <v>21</v>
      </c>
      <c r="E177" s="5" t="s">
        <v>21</v>
      </c>
      <c r="F177" s="5" t="s">
        <v>3486</v>
      </c>
      <c r="G177" s="5" t="s">
        <v>21</v>
      </c>
      <c r="H177" s="5" t="s">
        <v>21</v>
      </c>
      <c r="I177" s="5" t="s">
        <v>3487</v>
      </c>
      <c r="J177" s="12" t="s">
        <v>3488</v>
      </c>
      <c r="K177" s="5" t="s">
        <v>21</v>
      </c>
      <c r="L177" s="5" t="s">
        <v>21</v>
      </c>
      <c r="M177" s="5" t="s">
        <v>25</v>
      </c>
      <c r="N177" s="5" t="s">
        <v>76</v>
      </c>
      <c r="O177" s="5" t="s">
        <v>21</v>
      </c>
      <c r="P177" s="5" t="s">
        <v>21</v>
      </c>
      <c r="Q177" s="5" t="s">
        <v>21</v>
      </c>
      <c r="R177" s="5" t="s">
        <v>21</v>
      </c>
      <c r="S177" s="5" t="s">
        <v>21</v>
      </c>
      <c r="T177" s="5" t="s">
        <v>3489</v>
      </c>
      <c r="U177" s="5" t="s">
        <v>3490</v>
      </c>
      <c r="V177" s="5" t="s">
        <v>3491</v>
      </c>
      <c r="W177" s="5" t="s">
        <v>3492</v>
      </c>
      <c r="X177" s="5" t="s">
        <v>3493</v>
      </c>
      <c r="Y177" s="5" t="s">
        <v>3494</v>
      </c>
      <c r="Z177" s="5" t="s">
        <v>3495</v>
      </c>
      <c r="AA177" s="5" t="s">
        <v>3496</v>
      </c>
      <c r="AB177" s="5" t="s">
        <v>3497</v>
      </c>
      <c r="AC177" s="5" t="s">
        <v>21</v>
      </c>
      <c r="AD177" s="5" t="s">
        <v>21</v>
      </c>
      <c r="AE177" s="5" t="s">
        <v>21</v>
      </c>
      <c r="AF177" s="5">
        <v>100</v>
      </c>
      <c r="AG177" s="5">
        <v>13</v>
      </c>
      <c r="AH177" s="5">
        <v>13</v>
      </c>
      <c r="AI177" s="5">
        <v>9</v>
      </c>
      <c r="AJ177" s="5">
        <v>47</v>
      </c>
      <c r="AK177" s="5" t="s">
        <v>659</v>
      </c>
      <c r="AL177" s="5" t="s">
        <v>660</v>
      </c>
      <c r="AM177" s="5" t="s">
        <v>661</v>
      </c>
      <c r="AN177" s="5" t="s">
        <v>3498</v>
      </c>
      <c r="AO177" s="5" t="s">
        <v>21</v>
      </c>
      <c r="AP177" s="5" t="s">
        <v>21</v>
      </c>
      <c r="AQ177" s="5" t="s">
        <v>3488</v>
      </c>
      <c r="AR177" s="5" t="s">
        <v>3499</v>
      </c>
      <c r="AS177" s="5" t="s">
        <v>21</v>
      </c>
      <c r="AT177" s="5">
        <v>2023</v>
      </c>
      <c r="AU177" s="5">
        <v>11</v>
      </c>
      <c r="AV177" s="5" t="s">
        <v>21</v>
      </c>
      <c r="AW177" s="5" t="s">
        <v>21</v>
      </c>
      <c r="AX177" s="5" t="s">
        <v>21</v>
      </c>
      <c r="AY177" s="5" t="s">
        <v>21</v>
      </c>
      <c r="AZ177" s="5" t="s">
        <v>21</v>
      </c>
      <c r="BA177" s="5">
        <v>74898</v>
      </c>
      <c r="BB177" s="5">
        <v>74913</v>
      </c>
      <c r="BC177" s="5" t="s">
        <v>21</v>
      </c>
      <c r="BD177" s="5" t="s">
        <v>3500</v>
      </c>
      <c r="BE177" s="5" t="str">
        <f>HYPERLINK("http://dx.doi.org/10.1109/ACCESS.2023.3296882","http://dx.doi.org/10.1109/ACCESS.2023.3296882")</f>
        <v>http://dx.doi.org/10.1109/ACCESS.2023.3296882</v>
      </c>
      <c r="BF177" s="5" t="s">
        <v>21</v>
      </c>
      <c r="BG177" s="5" t="s">
        <v>21</v>
      </c>
      <c r="BH177" s="5">
        <v>16</v>
      </c>
      <c r="BI177" s="5" t="s">
        <v>3501</v>
      </c>
      <c r="BJ177" s="5" t="s">
        <v>524</v>
      </c>
      <c r="BK177" s="5" t="s">
        <v>3502</v>
      </c>
      <c r="BL177" s="5" t="s">
        <v>3503</v>
      </c>
      <c r="BM177" s="5" t="s">
        <v>21</v>
      </c>
      <c r="BN177" s="5" t="s">
        <v>1909</v>
      </c>
      <c r="BO177" s="5" t="s">
        <v>21</v>
      </c>
      <c r="BP177" s="5" t="s">
        <v>21</v>
      </c>
      <c r="BQ177" s="5" t="s">
        <v>49</v>
      </c>
      <c r="BR177" s="5" t="s">
        <v>3504</v>
      </c>
      <c r="BS177" s="5" t="str">
        <f>HYPERLINK("https%3A%2F%2Fwww.webofscience.com%2Fwos%2Fwoscc%2Ffull-record%2FWOS:001038309200001","View Full Record in Web of Science")</f>
        <v>View Full Record in Web of Science</v>
      </c>
    </row>
    <row r="178" spans="1:71" x14ac:dyDescent="0.25">
      <c r="A178" t="s">
        <v>19</v>
      </c>
      <c r="B178" s="5" t="s">
        <v>3505</v>
      </c>
      <c r="C178" s="5" t="s">
        <v>21</v>
      </c>
      <c r="D178" s="5" t="s">
        <v>21</v>
      </c>
      <c r="E178" s="5" t="s">
        <v>21</v>
      </c>
      <c r="F178" s="5" t="s">
        <v>3506</v>
      </c>
      <c r="G178" s="5" t="s">
        <v>21</v>
      </c>
      <c r="H178" s="5" t="s">
        <v>21</v>
      </c>
      <c r="I178" s="5" t="s">
        <v>3507</v>
      </c>
      <c r="J178" s="12" t="s">
        <v>3508</v>
      </c>
      <c r="K178" s="5" t="s">
        <v>21</v>
      </c>
      <c r="L178" s="5" t="s">
        <v>21</v>
      </c>
      <c r="M178" s="5" t="s">
        <v>25</v>
      </c>
      <c r="N178" s="5" t="s">
        <v>26</v>
      </c>
      <c r="O178" s="5" t="s">
        <v>21</v>
      </c>
      <c r="P178" s="5" t="s">
        <v>21</v>
      </c>
      <c r="Q178" s="5" t="s">
        <v>21</v>
      </c>
      <c r="R178" s="5" t="s">
        <v>21</v>
      </c>
      <c r="S178" s="5" t="s">
        <v>21</v>
      </c>
      <c r="T178" s="5" t="s">
        <v>3509</v>
      </c>
      <c r="U178" s="5" t="s">
        <v>3510</v>
      </c>
      <c r="V178" s="5" t="s">
        <v>3511</v>
      </c>
      <c r="W178" s="5" t="s">
        <v>3512</v>
      </c>
      <c r="X178" s="5" t="s">
        <v>3513</v>
      </c>
      <c r="Y178" s="5" t="s">
        <v>3514</v>
      </c>
      <c r="Z178" s="5" t="s">
        <v>3515</v>
      </c>
      <c r="AA178" s="5" t="s">
        <v>3516</v>
      </c>
      <c r="AB178" s="5" t="s">
        <v>3517</v>
      </c>
      <c r="AC178" s="5" t="s">
        <v>3518</v>
      </c>
      <c r="AD178" s="5" t="s">
        <v>3518</v>
      </c>
      <c r="AE178" s="5" t="s">
        <v>3519</v>
      </c>
      <c r="AF178" s="5">
        <v>39</v>
      </c>
      <c r="AG178" s="5">
        <v>13</v>
      </c>
      <c r="AH178" s="5">
        <v>14</v>
      </c>
      <c r="AI178" s="5">
        <v>19</v>
      </c>
      <c r="AJ178" s="5">
        <v>106</v>
      </c>
      <c r="AK178" s="5" t="s">
        <v>193</v>
      </c>
      <c r="AL178" s="5" t="s">
        <v>194</v>
      </c>
      <c r="AM178" s="5" t="s">
        <v>195</v>
      </c>
      <c r="AN178" s="5" t="s">
        <v>21</v>
      </c>
      <c r="AO178" s="5" t="s">
        <v>3520</v>
      </c>
      <c r="AP178" s="5" t="s">
        <v>21</v>
      </c>
      <c r="AQ178" s="5" t="s">
        <v>3521</v>
      </c>
      <c r="AR178" s="5" t="s">
        <v>3522</v>
      </c>
      <c r="AS178" s="5" t="s">
        <v>199</v>
      </c>
      <c r="AT178" s="5">
        <v>2022</v>
      </c>
      <c r="AU178" s="5">
        <v>11</v>
      </c>
      <c r="AV178" s="5">
        <v>16</v>
      </c>
      <c r="AW178" s="5" t="s">
        <v>21</v>
      </c>
      <c r="AX178" s="5" t="s">
        <v>21</v>
      </c>
      <c r="AY178" s="5" t="s">
        <v>21</v>
      </c>
      <c r="AZ178" s="5" t="s">
        <v>21</v>
      </c>
      <c r="BA178" s="5" t="s">
        <v>21</v>
      </c>
      <c r="BB178" s="5" t="s">
        <v>21</v>
      </c>
      <c r="BC178" s="5">
        <v>2568</v>
      </c>
      <c r="BD178" s="5" t="s">
        <v>3523</v>
      </c>
      <c r="BE178" s="5" t="str">
        <f>HYPERLINK("http://dx.doi.org/10.3390/electronics11162568","http://dx.doi.org/10.3390/electronics11162568")</f>
        <v>http://dx.doi.org/10.3390/electronics11162568</v>
      </c>
      <c r="BF178" s="5" t="s">
        <v>21</v>
      </c>
      <c r="BG178" s="5" t="s">
        <v>21</v>
      </c>
      <c r="BH178" s="5">
        <v>17</v>
      </c>
      <c r="BI178" s="5" t="s">
        <v>3524</v>
      </c>
      <c r="BJ178" s="5" t="s">
        <v>524</v>
      </c>
      <c r="BK178" s="5" t="s">
        <v>3525</v>
      </c>
      <c r="BL178" s="5" t="s">
        <v>3526</v>
      </c>
      <c r="BM178" s="5" t="s">
        <v>21</v>
      </c>
      <c r="BN178" s="5" t="s">
        <v>3527</v>
      </c>
      <c r="BO178" s="5" t="s">
        <v>21</v>
      </c>
      <c r="BP178" s="5" t="s">
        <v>21</v>
      </c>
      <c r="BQ178" s="5" t="s">
        <v>49</v>
      </c>
      <c r="BR178" s="5" t="s">
        <v>3528</v>
      </c>
      <c r="BS178" s="5" t="str">
        <f>HYPERLINK("https%3A%2F%2Fwww.webofscience.com%2Fwos%2Fwoscc%2Ffull-record%2FWOS:000845971500001","View Full Record in Web of Science")</f>
        <v>View Full Record in Web of Science</v>
      </c>
    </row>
    <row r="179" spans="1:71" x14ac:dyDescent="0.25">
      <c r="A179" t="s">
        <v>19</v>
      </c>
      <c r="B179" s="5" t="s">
        <v>3529</v>
      </c>
      <c r="C179" s="5" t="s">
        <v>21</v>
      </c>
      <c r="D179" s="5" t="s">
        <v>21</v>
      </c>
      <c r="E179" s="5" t="s">
        <v>21</v>
      </c>
      <c r="F179" s="5" t="s">
        <v>3530</v>
      </c>
      <c r="G179" s="5" t="s">
        <v>21</v>
      </c>
      <c r="H179" s="5" t="s">
        <v>21</v>
      </c>
      <c r="I179" s="5" t="s">
        <v>3531</v>
      </c>
      <c r="J179" s="12" t="s">
        <v>646</v>
      </c>
      <c r="K179" s="5" t="s">
        <v>21</v>
      </c>
      <c r="L179" s="5" t="s">
        <v>21</v>
      </c>
      <c r="M179" s="5" t="s">
        <v>25</v>
      </c>
      <c r="N179" s="5" t="s">
        <v>26</v>
      </c>
      <c r="O179" s="5" t="s">
        <v>21</v>
      </c>
      <c r="P179" s="5" t="s">
        <v>21</v>
      </c>
      <c r="Q179" s="5" t="s">
        <v>21</v>
      </c>
      <c r="R179" s="5" t="s">
        <v>21</v>
      </c>
      <c r="S179" s="5" t="s">
        <v>21</v>
      </c>
      <c r="T179" s="5" t="s">
        <v>3532</v>
      </c>
      <c r="U179" s="5" t="s">
        <v>3533</v>
      </c>
      <c r="V179" s="5" t="s">
        <v>3534</v>
      </c>
      <c r="W179" s="5" t="s">
        <v>3535</v>
      </c>
      <c r="X179" s="5" t="s">
        <v>3536</v>
      </c>
      <c r="Y179" s="5" t="s">
        <v>3537</v>
      </c>
      <c r="Z179" s="5" t="s">
        <v>3538</v>
      </c>
      <c r="AA179" s="5" t="s">
        <v>21</v>
      </c>
      <c r="AB179" s="5" t="s">
        <v>3539</v>
      </c>
      <c r="AC179" s="5" t="s">
        <v>21</v>
      </c>
      <c r="AD179" s="5" t="s">
        <v>21</v>
      </c>
      <c r="AE179" s="5" t="s">
        <v>21</v>
      </c>
      <c r="AF179" s="5">
        <v>29</v>
      </c>
      <c r="AG179" s="5">
        <v>13</v>
      </c>
      <c r="AH179" s="5">
        <v>17</v>
      </c>
      <c r="AI179" s="5">
        <v>5</v>
      </c>
      <c r="AJ179" s="5">
        <v>39</v>
      </c>
      <c r="AK179" s="5" t="s">
        <v>659</v>
      </c>
      <c r="AL179" s="5" t="s">
        <v>660</v>
      </c>
      <c r="AM179" s="5" t="s">
        <v>661</v>
      </c>
      <c r="AN179" s="5" t="s">
        <v>662</v>
      </c>
      <c r="AO179" s="5" t="s">
        <v>663</v>
      </c>
      <c r="AP179" s="5" t="s">
        <v>21</v>
      </c>
      <c r="AQ179" s="5" t="s">
        <v>664</v>
      </c>
      <c r="AR179" s="5" t="s">
        <v>665</v>
      </c>
      <c r="AS179" s="5" t="s">
        <v>21</v>
      </c>
      <c r="AT179" s="5">
        <v>2021</v>
      </c>
      <c r="AU179" s="5">
        <v>29</v>
      </c>
      <c r="AV179" s="5" t="s">
        <v>21</v>
      </c>
      <c r="AW179" s="5" t="s">
        <v>21</v>
      </c>
      <c r="AX179" s="5" t="s">
        <v>21</v>
      </c>
      <c r="AY179" s="5" t="s">
        <v>21</v>
      </c>
      <c r="AZ179" s="5" t="s">
        <v>21</v>
      </c>
      <c r="BA179" s="5">
        <v>619</v>
      </c>
      <c r="BB179" s="5">
        <v>628</v>
      </c>
      <c r="BC179" s="5" t="s">
        <v>21</v>
      </c>
      <c r="BD179" s="5" t="s">
        <v>3540</v>
      </c>
      <c r="BE179" s="5" t="str">
        <f>HYPERLINK("http://dx.doi.org/10.1109/TNSRE.2021.3064148","http://dx.doi.org/10.1109/TNSRE.2021.3064148")</f>
        <v>http://dx.doi.org/10.1109/TNSRE.2021.3064148</v>
      </c>
      <c r="BF179" s="5" t="s">
        <v>21</v>
      </c>
      <c r="BG179" s="5" t="s">
        <v>21</v>
      </c>
      <c r="BH179" s="5">
        <v>10</v>
      </c>
      <c r="BI179" s="5" t="s">
        <v>667</v>
      </c>
      <c r="BJ179" s="5" t="s">
        <v>92</v>
      </c>
      <c r="BK179" s="5" t="s">
        <v>668</v>
      </c>
      <c r="BL179" s="5" t="s">
        <v>3541</v>
      </c>
      <c r="BM179" s="5">
        <v>33684040</v>
      </c>
      <c r="BN179" s="5" t="s">
        <v>21</v>
      </c>
      <c r="BO179" s="5" t="s">
        <v>21</v>
      </c>
      <c r="BP179" s="5" t="s">
        <v>21</v>
      </c>
      <c r="BQ179" s="5" t="s">
        <v>49</v>
      </c>
      <c r="BR179" s="5" t="s">
        <v>3542</v>
      </c>
      <c r="BS179" s="5" t="str">
        <f>HYPERLINK("https%3A%2F%2Fwww.webofscience.com%2Fwos%2Fwoscc%2Ffull-record%2FWOS:000629725600001","View Full Record in Web of Science")</f>
        <v>View Full Record in Web of Science</v>
      </c>
    </row>
    <row r="180" spans="1:71" x14ac:dyDescent="0.25">
      <c r="A180" t="s">
        <v>19</v>
      </c>
      <c r="B180" s="5" t="s">
        <v>2522</v>
      </c>
      <c r="C180" s="5" t="s">
        <v>21</v>
      </c>
      <c r="D180" s="5" t="s">
        <v>21</v>
      </c>
      <c r="E180" s="5" t="s">
        <v>21</v>
      </c>
      <c r="F180" s="5" t="s">
        <v>3543</v>
      </c>
      <c r="G180" s="5" t="s">
        <v>21</v>
      </c>
      <c r="H180" s="5" t="s">
        <v>21</v>
      </c>
      <c r="I180" s="5" t="s">
        <v>3544</v>
      </c>
      <c r="J180" s="12" t="s">
        <v>142</v>
      </c>
      <c r="K180" s="5" t="s">
        <v>21</v>
      </c>
      <c r="L180" s="5" t="s">
        <v>21</v>
      </c>
      <c r="M180" s="5" t="s">
        <v>25</v>
      </c>
      <c r="N180" s="5" t="s">
        <v>26</v>
      </c>
      <c r="O180" s="5" t="s">
        <v>21</v>
      </c>
      <c r="P180" s="5" t="s">
        <v>21</v>
      </c>
      <c r="Q180" s="5" t="s">
        <v>21</v>
      </c>
      <c r="R180" s="5" t="s">
        <v>21</v>
      </c>
      <c r="S180" s="5" t="s">
        <v>21</v>
      </c>
      <c r="T180" s="5" t="s">
        <v>3545</v>
      </c>
      <c r="U180" s="5" t="s">
        <v>3546</v>
      </c>
      <c r="V180" s="5" t="s">
        <v>3547</v>
      </c>
      <c r="W180" s="5" t="s">
        <v>3548</v>
      </c>
      <c r="X180" s="5" t="s">
        <v>3549</v>
      </c>
      <c r="Y180" s="5" t="s">
        <v>3550</v>
      </c>
      <c r="Z180" s="5" t="s">
        <v>2531</v>
      </c>
      <c r="AA180" s="5" t="s">
        <v>21</v>
      </c>
      <c r="AB180" s="5" t="s">
        <v>2532</v>
      </c>
      <c r="AC180" s="5" t="s">
        <v>3551</v>
      </c>
      <c r="AD180" s="5" t="s">
        <v>3552</v>
      </c>
      <c r="AE180" s="5" t="s">
        <v>3553</v>
      </c>
      <c r="AF180" s="5">
        <v>72</v>
      </c>
      <c r="AG180" s="5">
        <v>13</v>
      </c>
      <c r="AH180" s="5">
        <v>16</v>
      </c>
      <c r="AI180" s="5">
        <v>4</v>
      </c>
      <c r="AJ180" s="5">
        <v>41</v>
      </c>
      <c r="AK180" s="5" t="s">
        <v>153</v>
      </c>
      <c r="AL180" s="5" t="s">
        <v>154</v>
      </c>
      <c r="AM180" s="5" t="s">
        <v>155</v>
      </c>
      <c r="AN180" s="5" t="s">
        <v>156</v>
      </c>
      <c r="AO180" s="5" t="s">
        <v>21</v>
      </c>
      <c r="AP180" s="5" t="s">
        <v>21</v>
      </c>
      <c r="AQ180" s="5" t="s">
        <v>157</v>
      </c>
      <c r="AR180" s="5" t="s">
        <v>158</v>
      </c>
      <c r="AS180" s="5" t="s">
        <v>3554</v>
      </c>
      <c r="AT180" s="5">
        <v>2020</v>
      </c>
      <c r="AU180" s="5">
        <v>11</v>
      </c>
      <c r="AV180" s="5" t="s">
        <v>21</v>
      </c>
      <c r="AW180" s="5" t="s">
        <v>21</v>
      </c>
      <c r="AX180" s="5" t="s">
        <v>21</v>
      </c>
      <c r="AY180" s="5" t="s">
        <v>21</v>
      </c>
      <c r="AZ180" s="5" t="s">
        <v>21</v>
      </c>
      <c r="BA180" s="5" t="s">
        <v>21</v>
      </c>
      <c r="BB180" s="5" t="s">
        <v>21</v>
      </c>
      <c r="BC180" s="5">
        <v>669</v>
      </c>
      <c r="BD180" s="5" t="s">
        <v>3555</v>
      </c>
      <c r="BE180" s="5" t="str">
        <f>HYPERLINK("http://dx.doi.org/10.3389/fpsyt.2020.00669","http://dx.doi.org/10.3389/fpsyt.2020.00669")</f>
        <v>http://dx.doi.org/10.3389/fpsyt.2020.00669</v>
      </c>
      <c r="BF180" s="5" t="s">
        <v>21</v>
      </c>
      <c r="BG180" s="5" t="s">
        <v>21</v>
      </c>
      <c r="BH180" s="5">
        <v>9</v>
      </c>
      <c r="BI180" s="5" t="s">
        <v>161</v>
      </c>
      <c r="BJ180" s="5" t="s">
        <v>92</v>
      </c>
      <c r="BK180" s="5" t="s">
        <v>161</v>
      </c>
      <c r="BL180" s="5" t="s">
        <v>3556</v>
      </c>
      <c r="BM180" s="5">
        <v>32903670</v>
      </c>
      <c r="BN180" s="5" t="s">
        <v>864</v>
      </c>
      <c r="BO180" s="5" t="s">
        <v>21</v>
      </c>
      <c r="BP180" s="5" t="s">
        <v>21</v>
      </c>
      <c r="BQ180" s="5" t="s">
        <v>49</v>
      </c>
      <c r="BR180" s="5" t="s">
        <v>3557</v>
      </c>
      <c r="BS180" s="5" t="str">
        <f>HYPERLINK("https%3A%2F%2Fwww.webofscience.com%2Fwos%2Fwoscc%2Ffull-record%2FWOS:000563323100001","View Full Record in Web of Science")</f>
        <v>View Full Record in Web of Science</v>
      </c>
    </row>
    <row r="181" spans="1:71" x14ac:dyDescent="0.25">
      <c r="A181" t="s">
        <v>19</v>
      </c>
      <c r="B181" s="5" t="s">
        <v>3558</v>
      </c>
      <c r="C181" s="5" t="s">
        <v>21</v>
      </c>
      <c r="D181" s="5" t="s">
        <v>21</v>
      </c>
      <c r="E181" s="5" t="s">
        <v>21</v>
      </c>
      <c r="F181" s="5" t="s">
        <v>3559</v>
      </c>
      <c r="G181" s="5" t="s">
        <v>21</v>
      </c>
      <c r="H181" s="5" t="s">
        <v>21</v>
      </c>
      <c r="I181" s="5" t="s">
        <v>3560</v>
      </c>
      <c r="J181" s="12" t="s">
        <v>2972</v>
      </c>
      <c r="K181" s="5" t="s">
        <v>21</v>
      </c>
      <c r="L181" s="5" t="s">
        <v>21</v>
      </c>
      <c r="M181" s="5" t="s">
        <v>25</v>
      </c>
      <c r="N181" s="5" t="s">
        <v>76</v>
      </c>
      <c r="O181" s="5" t="s">
        <v>21</v>
      </c>
      <c r="P181" s="5" t="s">
        <v>21</v>
      </c>
      <c r="Q181" s="5" t="s">
        <v>21</v>
      </c>
      <c r="R181" s="5" t="s">
        <v>21</v>
      </c>
      <c r="S181" s="5" t="s">
        <v>21</v>
      </c>
      <c r="T181" s="5" t="s">
        <v>3561</v>
      </c>
      <c r="U181" s="5" t="s">
        <v>3562</v>
      </c>
      <c r="V181" s="5" t="s">
        <v>3563</v>
      </c>
      <c r="W181" s="5" t="s">
        <v>3564</v>
      </c>
      <c r="X181" s="5" t="s">
        <v>3565</v>
      </c>
      <c r="Y181" s="5" t="s">
        <v>3566</v>
      </c>
      <c r="Z181" s="5" t="s">
        <v>3567</v>
      </c>
      <c r="AA181" s="5" t="s">
        <v>3568</v>
      </c>
      <c r="AB181" s="5" t="s">
        <v>3569</v>
      </c>
      <c r="AC181" s="5" t="s">
        <v>21</v>
      </c>
      <c r="AD181" s="5" t="s">
        <v>21</v>
      </c>
      <c r="AE181" s="5" t="s">
        <v>21</v>
      </c>
      <c r="AF181" s="5">
        <v>61</v>
      </c>
      <c r="AG181" s="5">
        <v>13</v>
      </c>
      <c r="AH181" s="5">
        <v>13</v>
      </c>
      <c r="AI181" s="5">
        <v>1</v>
      </c>
      <c r="AJ181" s="5">
        <v>25</v>
      </c>
      <c r="AK181" s="5" t="s">
        <v>2981</v>
      </c>
      <c r="AL181" s="5" t="s">
        <v>2982</v>
      </c>
      <c r="AM181" s="5" t="s">
        <v>3570</v>
      </c>
      <c r="AN181" s="5" t="s">
        <v>2984</v>
      </c>
      <c r="AO181" s="5" t="s">
        <v>21</v>
      </c>
      <c r="AP181" s="5" t="s">
        <v>21</v>
      </c>
      <c r="AQ181" s="5" t="s">
        <v>2985</v>
      </c>
      <c r="AR181" s="5" t="s">
        <v>2986</v>
      </c>
      <c r="AS181" s="5" t="s">
        <v>21</v>
      </c>
      <c r="AT181" s="5">
        <v>2020</v>
      </c>
      <c r="AU181" s="5">
        <v>14</v>
      </c>
      <c r="AV181" s="5">
        <v>2</v>
      </c>
      <c r="AW181" s="5" t="s">
        <v>21</v>
      </c>
      <c r="AX181" s="5" t="s">
        <v>21</v>
      </c>
      <c r="AY181" s="5" t="s">
        <v>21</v>
      </c>
      <c r="AZ181" s="5" t="s">
        <v>21</v>
      </c>
      <c r="BA181" s="5">
        <v>99</v>
      </c>
      <c r="BB181" s="5">
        <v>114</v>
      </c>
      <c r="BC181" s="5" t="s">
        <v>21</v>
      </c>
      <c r="BD181" s="5" t="s">
        <v>3571</v>
      </c>
      <c r="BE181" s="5" t="str">
        <f>HYPERLINK("http://dx.doi.org/10.1108/JET-01-2020-0005","http://dx.doi.org/10.1108/JET-01-2020-0005")</f>
        <v>http://dx.doi.org/10.1108/JET-01-2020-0005</v>
      </c>
      <c r="BF181" s="5" t="s">
        <v>21</v>
      </c>
      <c r="BG181" s="5" t="s">
        <v>3572</v>
      </c>
      <c r="BH181" s="5">
        <v>16</v>
      </c>
      <c r="BI181" s="5" t="s">
        <v>2990</v>
      </c>
      <c r="BJ181" s="5" t="s">
        <v>1907</v>
      </c>
      <c r="BK181" s="5" t="s">
        <v>2990</v>
      </c>
      <c r="BL181" s="5" t="s">
        <v>3573</v>
      </c>
      <c r="BM181" s="5" t="s">
        <v>21</v>
      </c>
      <c r="BN181" s="5" t="s">
        <v>21</v>
      </c>
      <c r="BO181" s="5" t="s">
        <v>21</v>
      </c>
      <c r="BP181" s="5" t="s">
        <v>21</v>
      </c>
      <c r="BQ181" s="5" t="s">
        <v>49</v>
      </c>
      <c r="BR181" s="5" t="s">
        <v>3574</v>
      </c>
      <c r="BS181" s="5" t="str">
        <f>HYPERLINK("https%3A%2F%2Fwww.webofscience.com%2Fwos%2Fwoscc%2Ffull-record%2FWOS:000534749100001","View Full Record in Web of Science")</f>
        <v>View Full Record in Web of Science</v>
      </c>
    </row>
    <row r="182" spans="1:71" x14ac:dyDescent="0.25">
      <c r="A182" t="s">
        <v>19</v>
      </c>
      <c r="B182" s="5" t="s">
        <v>3575</v>
      </c>
      <c r="C182" s="5" t="s">
        <v>21</v>
      </c>
      <c r="D182" s="5" t="s">
        <v>21</v>
      </c>
      <c r="E182" s="5" t="s">
        <v>21</v>
      </c>
      <c r="F182" s="5" t="s">
        <v>3576</v>
      </c>
      <c r="G182" s="5" t="s">
        <v>21</v>
      </c>
      <c r="H182" s="5" t="s">
        <v>21</v>
      </c>
      <c r="I182" s="5" t="s">
        <v>3577</v>
      </c>
      <c r="J182" s="12" t="s">
        <v>3578</v>
      </c>
      <c r="K182" s="5" t="s">
        <v>21</v>
      </c>
      <c r="L182" s="5" t="s">
        <v>21</v>
      </c>
      <c r="M182" s="5" t="s">
        <v>25</v>
      </c>
      <c r="N182" s="5" t="s">
        <v>26</v>
      </c>
      <c r="O182" s="5" t="s">
        <v>21</v>
      </c>
      <c r="P182" s="5" t="s">
        <v>21</v>
      </c>
      <c r="Q182" s="5" t="s">
        <v>21</v>
      </c>
      <c r="R182" s="5" t="s">
        <v>21</v>
      </c>
      <c r="S182" s="5" t="s">
        <v>21</v>
      </c>
      <c r="T182" s="5" t="s">
        <v>3579</v>
      </c>
      <c r="U182" s="5" t="s">
        <v>3580</v>
      </c>
      <c r="V182" s="5" t="s">
        <v>3581</v>
      </c>
      <c r="W182" s="5" t="s">
        <v>3582</v>
      </c>
      <c r="X182" s="5" t="s">
        <v>3583</v>
      </c>
      <c r="Y182" s="5" t="s">
        <v>3584</v>
      </c>
      <c r="Z182" s="5" t="s">
        <v>3585</v>
      </c>
      <c r="AA182" s="5" t="s">
        <v>21</v>
      </c>
      <c r="AB182" s="5" t="s">
        <v>3586</v>
      </c>
      <c r="AC182" s="5" t="s">
        <v>3587</v>
      </c>
      <c r="AD182" s="5" t="s">
        <v>3588</v>
      </c>
      <c r="AE182" s="5" t="s">
        <v>3589</v>
      </c>
      <c r="AF182" s="5">
        <v>39</v>
      </c>
      <c r="AG182" s="5">
        <v>13</v>
      </c>
      <c r="AH182" s="5">
        <v>13</v>
      </c>
      <c r="AI182" s="5">
        <v>6</v>
      </c>
      <c r="AJ182" s="5">
        <v>48</v>
      </c>
      <c r="AK182" s="5" t="s">
        <v>904</v>
      </c>
      <c r="AL182" s="5" t="s">
        <v>36</v>
      </c>
      <c r="AM182" s="5" t="s">
        <v>37</v>
      </c>
      <c r="AN182" s="5" t="s">
        <v>3590</v>
      </c>
      <c r="AO182" s="5" t="s">
        <v>3591</v>
      </c>
      <c r="AP182" s="5" t="s">
        <v>21</v>
      </c>
      <c r="AQ182" s="5" t="s">
        <v>3592</v>
      </c>
      <c r="AR182" s="5" t="s">
        <v>3593</v>
      </c>
      <c r="AS182" s="5" t="s">
        <v>176</v>
      </c>
      <c r="AT182" s="5">
        <v>2019</v>
      </c>
      <c r="AU182" s="5">
        <v>13</v>
      </c>
      <c r="AV182" s="5">
        <v>1</v>
      </c>
      <c r="AW182" s="5" t="s">
        <v>21</v>
      </c>
      <c r="AX182" s="5" t="s">
        <v>21</v>
      </c>
      <c r="AY182" s="5" t="s">
        <v>501</v>
      </c>
      <c r="AZ182" s="5" t="s">
        <v>21</v>
      </c>
      <c r="BA182" s="5">
        <v>31</v>
      </c>
      <c r="BB182" s="5">
        <v>40</v>
      </c>
      <c r="BC182" s="5" t="s">
        <v>21</v>
      </c>
      <c r="BD182" s="5" t="s">
        <v>3594</v>
      </c>
      <c r="BE182" s="5" t="str">
        <f>HYPERLINK("http://dx.doi.org/10.1007/s12193-018-0288-9","http://dx.doi.org/10.1007/s12193-018-0288-9")</f>
        <v>http://dx.doi.org/10.1007/s12193-018-0288-9</v>
      </c>
      <c r="BF182" s="5" t="s">
        <v>21</v>
      </c>
      <c r="BG182" s="5" t="s">
        <v>21</v>
      </c>
      <c r="BH182" s="5">
        <v>10</v>
      </c>
      <c r="BI182" s="5" t="s">
        <v>714</v>
      </c>
      <c r="BJ182" s="5" t="s">
        <v>92</v>
      </c>
      <c r="BK182" s="5" t="s">
        <v>715</v>
      </c>
      <c r="BL182" s="5" t="s">
        <v>3595</v>
      </c>
      <c r="BM182" s="5" t="s">
        <v>21</v>
      </c>
      <c r="BN182" s="5" t="s">
        <v>21</v>
      </c>
      <c r="BO182" s="5" t="s">
        <v>21</v>
      </c>
      <c r="BP182" s="5" t="s">
        <v>21</v>
      </c>
      <c r="BQ182" s="5" t="s">
        <v>49</v>
      </c>
      <c r="BR182" s="5" t="s">
        <v>3596</v>
      </c>
      <c r="BS182" s="5" t="str">
        <f>HYPERLINK("https%3A%2F%2Fwww.webofscience.com%2Fwos%2Fwoscc%2Ffull-record%2FWOS:000459807800004","View Full Record in Web of Science")</f>
        <v>View Full Record in Web of Science</v>
      </c>
    </row>
    <row r="183" spans="1:71" x14ac:dyDescent="0.25">
      <c r="A183" t="s">
        <v>19</v>
      </c>
      <c r="B183" s="5" t="s">
        <v>3597</v>
      </c>
      <c r="C183" s="5" t="s">
        <v>21</v>
      </c>
      <c r="D183" s="5" t="s">
        <v>21</v>
      </c>
      <c r="E183" s="5" t="s">
        <v>21</v>
      </c>
      <c r="F183" s="5" t="s">
        <v>3598</v>
      </c>
      <c r="G183" s="5" t="s">
        <v>21</v>
      </c>
      <c r="H183" s="5" t="s">
        <v>21</v>
      </c>
      <c r="I183" s="5" t="s">
        <v>3599</v>
      </c>
      <c r="J183" s="12" t="s">
        <v>3600</v>
      </c>
      <c r="K183" s="5" t="s">
        <v>21</v>
      </c>
      <c r="L183" s="5" t="s">
        <v>21</v>
      </c>
      <c r="M183" s="5" t="s">
        <v>25</v>
      </c>
      <c r="N183" s="5" t="s">
        <v>76</v>
      </c>
      <c r="O183" s="5" t="s">
        <v>21</v>
      </c>
      <c r="P183" s="5" t="s">
        <v>21</v>
      </c>
      <c r="Q183" s="5" t="s">
        <v>21</v>
      </c>
      <c r="R183" s="5" t="s">
        <v>21</v>
      </c>
      <c r="S183" s="5" t="s">
        <v>21</v>
      </c>
      <c r="T183" s="5" t="s">
        <v>3601</v>
      </c>
      <c r="U183" s="5" t="s">
        <v>3602</v>
      </c>
      <c r="V183" s="5" t="s">
        <v>3603</v>
      </c>
      <c r="W183" s="5" t="s">
        <v>3604</v>
      </c>
      <c r="X183" s="5" t="s">
        <v>3605</v>
      </c>
      <c r="Y183" s="5" t="s">
        <v>3606</v>
      </c>
      <c r="Z183" s="5" t="s">
        <v>3607</v>
      </c>
      <c r="AA183" s="5" t="s">
        <v>3608</v>
      </c>
      <c r="AB183" s="5" t="s">
        <v>21</v>
      </c>
      <c r="AC183" s="5" t="s">
        <v>21</v>
      </c>
      <c r="AD183" s="5" t="s">
        <v>21</v>
      </c>
      <c r="AE183" s="5" t="s">
        <v>21</v>
      </c>
      <c r="AF183" s="5">
        <v>20</v>
      </c>
      <c r="AG183" s="5">
        <v>13</v>
      </c>
      <c r="AH183" s="5">
        <v>15</v>
      </c>
      <c r="AI183" s="5">
        <v>3</v>
      </c>
      <c r="AJ183" s="5">
        <v>41</v>
      </c>
      <c r="AK183" s="5" t="s">
        <v>904</v>
      </c>
      <c r="AL183" s="5" t="s">
        <v>36</v>
      </c>
      <c r="AM183" s="5" t="s">
        <v>37</v>
      </c>
      <c r="AN183" s="5" t="s">
        <v>3609</v>
      </c>
      <c r="AO183" s="5" t="s">
        <v>3610</v>
      </c>
      <c r="AP183" s="5" t="s">
        <v>21</v>
      </c>
      <c r="AQ183" s="5" t="s">
        <v>3611</v>
      </c>
      <c r="AR183" s="5" t="s">
        <v>3612</v>
      </c>
      <c r="AS183" s="5" t="s">
        <v>89</v>
      </c>
      <c r="AT183" s="5">
        <v>2018</v>
      </c>
      <c r="AU183" s="5">
        <v>50</v>
      </c>
      <c r="AV183" s="5">
        <v>3</v>
      </c>
      <c r="AW183" s="5" t="s">
        <v>21</v>
      </c>
      <c r="AX183" s="5" t="s">
        <v>21</v>
      </c>
      <c r="AY183" s="5" t="s">
        <v>21</v>
      </c>
      <c r="AZ183" s="5" t="s">
        <v>21</v>
      </c>
      <c r="BA183" s="5">
        <v>222</v>
      </c>
      <c r="BB183" s="5">
        <v>228</v>
      </c>
      <c r="BC183" s="5" t="s">
        <v>21</v>
      </c>
      <c r="BD183" s="5" t="s">
        <v>3613</v>
      </c>
      <c r="BE183" s="5" t="str">
        <f>HYPERLINK("http://dx.doi.org/10.1007/s11062-018-9741-3","http://dx.doi.org/10.1007/s11062-018-9741-3")</f>
        <v>http://dx.doi.org/10.1007/s11062-018-9741-3</v>
      </c>
      <c r="BF183" s="5" t="s">
        <v>21</v>
      </c>
      <c r="BG183" s="5" t="s">
        <v>21</v>
      </c>
      <c r="BH183" s="5">
        <v>7</v>
      </c>
      <c r="BI183" s="5" t="s">
        <v>3614</v>
      </c>
      <c r="BJ183" s="5" t="s">
        <v>524</v>
      </c>
      <c r="BK183" s="5" t="s">
        <v>3615</v>
      </c>
      <c r="BL183" s="5" t="s">
        <v>3616</v>
      </c>
      <c r="BM183" s="5" t="s">
        <v>21</v>
      </c>
      <c r="BN183" s="5" t="s">
        <v>21</v>
      </c>
      <c r="BO183" s="5" t="s">
        <v>21</v>
      </c>
      <c r="BP183" s="5" t="s">
        <v>21</v>
      </c>
      <c r="BQ183" s="5" t="s">
        <v>49</v>
      </c>
      <c r="BR183" s="5" t="s">
        <v>3617</v>
      </c>
      <c r="BS183" s="5" t="str">
        <f>HYPERLINK("https%3A%2F%2Fwww.webofscience.com%2Fwos%2Fwoscc%2Ffull-record%2FWOS:000445113400012","View Full Record in Web of Science")</f>
        <v>View Full Record in Web of Science</v>
      </c>
    </row>
    <row r="184" spans="1:71" x14ac:dyDescent="0.25">
      <c r="A184" t="s">
        <v>19</v>
      </c>
      <c r="B184" s="5" t="s">
        <v>3618</v>
      </c>
      <c r="C184" s="5" t="s">
        <v>21</v>
      </c>
      <c r="D184" s="5" t="s">
        <v>21</v>
      </c>
      <c r="E184" s="5" t="s">
        <v>21</v>
      </c>
      <c r="F184" s="5" t="s">
        <v>3619</v>
      </c>
      <c r="G184" s="5" t="s">
        <v>21</v>
      </c>
      <c r="H184" s="5" t="s">
        <v>21</v>
      </c>
      <c r="I184" s="5" t="s">
        <v>3620</v>
      </c>
      <c r="J184" s="12" t="s">
        <v>1364</v>
      </c>
      <c r="K184" s="5" t="s">
        <v>21</v>
      </c>
      <c r="L184" s="5" t="s">
        <v>21</v>
      </c>
      <c r="M184" s="5" t="s">
        <v>25</v>
      </c>
      <c r="N184" s="5" t="s">
        <v>26</v>
      </c>
      <c r="O184" s="5" t="s">
        <v>21</v>
      </c>
      <c r="P184" s="5" t="s">
        <v>21</v>
      </c>
      <c r="Q184" s="5" t="s">
        <v>21</v>
      </c>
      <c r="R184" s="5" t="s">
        <v>21</v>
      </c>
      <c r="S184" s="5" t="s">
        <v>21</v>
      </c>
      <c r="T184" s="5" t="s">
        <v>3621</v>
      </c>
      <c r="U184" s="5" t="s">
        <v>3622</v>
      </c>
      <c r="V184" s="5" t="s">
        <v>3623</v>
      </c>
      <c r="W184" s="5" t="s">
        <v>3624</v>
      </c>
      <c r="X184" s="5" t="s">
        <v>3625</v>
      </c>
      <c r="Y184" s="5" t="s">
        <v>3626</v>
      </c>
      <c r="Z184" s="5" t="s">
        <v>1127</v>
      </c>
      <c r="AA184" s="5" t="s">
        <v>3627</v>
      </c>
      <c r="AB184" s="5" t="s">
        <v>3628</v>
      </c>
      <c r="AC184" s="5" t="s">
        <v>3629</v>
      </c>
      <c r="AD184" s="5" t="s">
        <v>3630</v>
      </c>
      <c r="AE184" s="5" t="s">
        <v>3631</v>
      </c>
      <c r="AF184" s="5">
        <v>74</v>
      </c>
      <c r="AG184" s="5">
        <v>13</v>
      </c>
      <c r="AH184" s="5">
        <v>14</v>
      </c>
      <c r="AI184" s="5">
        <v>1</v>
      </c>
      <c r="AJ184" s="5">
        <v>28</v>
      </c>
      <c r="AK184" s="5" t="s">
        <v>1377</v>
      </c>
      <c r="AL184" s="5" t="s">
        <v>64</v>
      </c>
      <c r="AM184" s="5" t="s">
        <v>1378</v>
      </c>
      <c r="AN184" s="5" t="s">
        <v>21</v>
      </c>
      <c r="AO184" s="5" t="s">
        <v>1379</v>
      </c>
      <c r="AP184" s="5" t="s">
        <v>21</v>
      </c>
      <c r="AQ184" s="5" t="s">
        <v>1380</v>
      </c>
      <c r="AR184" s="5" t="s">
        <v>1381</v>
      </c>
      <c r="AS184" s="5" t="s">
        <v>3632</v>
      </c>
      <c r="AT184" s="5">
        <v>2017</v>
      </c>
      <c r="AU184" s="5">
        <v>14</v>
      </c>
      <c r="AV184" s="5" t="s">
        <v>21</v>
      </c>
      <c r="AW184" s="5" t="s">
        <v>21</v>
      </c>
      <c r="AX184" s="5" t="s">
        <v>21</v>
      </c>
      <c r="AY184" s="5" t="s">
        <v>21</v>
      </c>
      <c r="AZ184" s="5" t="s">
        <v>21</v>
      </c>
      <c r="BA184" s="5" t="s">
        <v>21</v>
      </c>
      <c r="BB184" s="5" t="s">
        <v>21</v>
      </c>
      <c r="BC184" s="5">
        <v>63</v>
      </c>
      <c r="BD184" s="5" t="s">
        <v>3633</v>
      </c>
      <c r="BE184" s="5" t="str">
        <f>HYPERLINK("http://dx.doi.org/10.1186/s12984-017-0276-4","http://dx.doi.org/10.1186/s12984-017-0276-4")</f>
        <v>http://dx.doi.org/10.1186/s12984-017-0276-4</v>
      </c>
      <c r="BF184" s="5" t="s">
        <v>21</v>
      </c>
      <c r="BG184" s="5" t="s">
        <v>21</v>
      </c>
      <c r="BH184" s="5">
        <v>13</v>
      </c>
      <c r="BI184" s="5" t="s">
        <v>1384</v>
      </c>
      <c r="BJ184" s="5" t="s">
        <v>524</v>
      </c>
      <c r="BK184" s="5" t="s">
        <v>1385</v>
      </c>
      <c r="BL184" s="5" t="s">
        <v>3634</v>
      </c>
      <c r="BM184" s="5">
        <v>28651628</v>
      </c>
      <c r="BN184" s="5" t="s">
        <v>864</v>
      </c>
      <c r="BO184" s="5" t="s">
        <v>21</v>
      </c>
      <c r="BP184" s="5" t="s">
        <v>21</v>
      </c>
      <c r="BQ184" s="5" t="s">
        <v>49</v>
      </c>
      <c r="BR184" s="5" t="s">
        <v>3635</v>
      </c>
      <c r="BS184" s="5" t="str">
        <f>HYPERLINK("https%3A%2F%2Fwww.webofscience.com%2Fwos%2Fwoscc%2Ffull-record%2FWOS:000405690600002","View Full Record in Web of Science")</f>
        <v>View Full Record in Web of Science</v>
      </c>
    </row>
    <row r="185" spans="1:71" x14ac:dyDescent="0.25">
      <c r="A185" t="s">
        <v>19</v>
      </c>
      <c r="B185" s="5" t="s">
        <v>3636</v>
      </c>
      <c r="C185" s="5" t="s">
        <v>21</v>
      </c>
      <c r="D185" s="5" t="s">
        <v>21</v>
      </c>
      <c r="E185" s="5" t="s">
        <v>21</v>
      </c>
      <c r="F185" s="5" t="s">
        <v>3637</v>
      </c>
      <c r="G185" s="5" t="s">
        <v>21</v>
      </c>
      <c r="H185" s="5" t="s">
        <v>21</v>
      </c>
      <c r="I185" s="5" t="s">
        <v>3638</v>
      </c>
      <c r="J185" s="12" t="s">
        <v>3639</v>
      </c>
      <c r="K185" s="5" t="s">
        <v>21</v>
      </c>
      <c r="L185" s="5" t="s">
        <v>21</v>
      </c>
      <c r="M185" s="5" t="s">
        <v>25</v>
      </c>
      <c r="N185" s="5" t="s">
        <v>26</v>
      </c>
      <c r="O185" s="5" t="s">
        <v>21</v>
      </c>
      <c r="P185" s="5" t="s">
        <v>21</v>
      </c>
      <c r="Q185" s="5" t="s">
        <v>21</v>
      </c>
      <c r="R185" s="5" t="s">
        <v>21</v>
      </c>
      <c r="S185" s="5" t="s">
        <v>21</v>
      </c>
      <c r="T185" s="5" t="s">
        <v>3640</v>
      </c>
      <c r="U185" s="5" t="s">
        <v>3641</v>
      </c>
      <c r="V185" s="5" t="s">
        <v>3642</v>
      </c>
      <c r="W185" s="5" t="s">
        <v>3643</v>
      </c>
      <c r="X185" s="5" t="s">
        <v>3644</v>
      </c>
      <c r="Y185" s="5" t="s">
        <v>3645</v>
      </c>
      <c r="Z185" s="5" t="s">
        <v>3646</v>
      </c>
      <c r="AA185" s="5" t="s">
        <v>21</v>
      </c>
      <c r="AB185" s="5" t="s">
        <v>3647</v>
      </c>
      <c r="AC185" s="5" t="s">
        <v>3648</v>
      </c>
      <c r="AD185" s="5" t="s">
        <v>3649</v>
      </c>
      <c r="AE185" s="5" t="s">
        <v>3650</v>
      </c>
      <c r="AF185" s="5">
        <v>41</v>
      </c>
      <c r="AG185" s="5">
        <v>13</v>
      </c>
      <c r="AH185" s="5">
        <v>15</v>
      </c>
      <c r="AI185" s="5">
        <v>0</v>
      </c>
      <c r="AJ185" s="5">
        <v>23</v>
      </c>
      <c r="AK185" s="5" t="s">
        <v>3651</v>
      </c>
      <c r="AL185" s="5" t="s">
        <v>64</v>
      </c>
      <c r="AM185" s="5" t="s">
        <v>3652</v>
      </c>
      <c r="AN185" s="5" t="s">
        <v>3653</v>
      </c>
      <c r="AO185" s="5" t="s">
        <v>21</v>
      </c>
      <c r="AP185" s="5" t="s">
        <v>21</v>
      </c>
      <c r="AQ185" s="5" t="s">
        <v>3639</v>
      </c>
      <c r="AR185" s="5" t="s">
        <v>3654</v>
      </c>
      <c r="AS185" s="5" t="s">
        <v>3655</v>
      </c>
      <c r="AT185" s="5">
        <v>2017</v>
      </c>
      <c r="AU185" s="5">
        <v>5</v>
      </c>
      <c r="AV185" s="5" t="s">
        <v>21</v>
      </c>
      <c r="AW185" s="5" t="s">
        <v>21</v>
      </c>
      <c r="AX185" s="5" t="s">
        <v>21</v>
      </c>
      <c r="AY185" s="5" t="s">
        <v>21</v>
      </c>
      <c r="AZ185" s="5" t="s">
        <v>21</v>
      </c>
      <c r="BA185" s="5" t="s">
        <v>21</v>
      </c>
      <c r="BB185" s="5" t="s">
        <v>21</v>
      </c>
      <c r="BC185" s="5" t="s">
        <v>3656</v>
      </c>
      <c r="BD185" s="5" t="s">
        <v>3657</v>
      </c>
      <c r="BE185" s="5" t="str">
        <f>HYPERLINK("http://dx.doi.org/10.7717/peerj.2899","http://dx.doi.org/10.7717/peerj.2899")</f>
        <v>http://dx.doi.org/10.7717/peerj.2899</v>
      </c>
      <c r="BF185" s="5" t="s">
        <v>21</v>
      </c>
      <c r="BG185" s="5" t="s">
        <v>21</v>
      </c>
      <c r="BH185" s="5">
        <v>16</v>
      </c>
      <c r="BI185" s="5" t="s">
        <v>568</v>
      </c>
      <c r="BJ185" s="5" t="s">
        <v>92</v>
      </c>
      <c r="BK185" s="5" t="s">
        <v>569</v>
      </c>
      <c r="BL185" s="5" t="s">
        <v>3658</v>
      </c>
      <c r="BM185" s="5">
        <v>28123912</v>
      </c>
      <c r="BN185" s="5" t="s">
        <v>409</v>
      </c>
      <c r="BO185" s="5" t="s">
        <v>21</v>
      </c>
      <c r="BP185" s="5" t="s">
        <v>21</v>
      </c>
      <c r="BQ185" s="5" t="s">
        <v>49</v>
      </c>
      <c r="BR185" s="5" t="s">
        <v>3659</v>
      </c>
      <c r="BS185" s="5" t="str">
        <f>HYPERLINK("https%3A%2F%2Fwww.webofscience.com%2Fwos%2Fwoscc%2Ffull-record%2FWOS:000394699300008","View Full Record in Web of Science")</f>
        <v>View Full Record in Web of Science</v>
      </c>
    </row>
    <row r="186" spans="1:71" x14ac:dyDescent="0.25">
      <c r="A186" t="s">
        <v>19</v>
      </c>
      <c r="B186" s="5" t="s">
        <v>3660</v>
      </c>
      <c r="C186" s="5" t="s">
        <v>21</v>
      </c>
      <c r="D186" s="5" t="s">
        <v>21</v>
      </c>
      <c r="E186" s="5" t="s">
        <v>21</v>
      </c>
      <c r="F186" s="5" t="s">
        <v>3661</v>
      </c>
      <c r="G186" s="5" t="s">
        <v>21</v>
      </c>
      <c r="H186" s="5" t="s">
        <v>21</v>
      </c>
      <c r="I186" s="5" t="s">
        <v>3662</v>
      </c>
      <c r="J186" s="12" t="s">
        <v>3663</v>
      </c>
      <c r="K186" s="5" t="s">
        <v>21</v>
      </c>
      <c r="L186" s="5" t="s">
        <v>21</v>
      </c>
      <c r="M186" s="5" t="s">
        <v>3664</v>
      </c>
      <c r="N186" s="5" t="s">
        <v>26</v>
      </c>
      <c r="O186" s="5" t="s">
        <v>21</v>
      </c>
      <c r="P186" s="5" t="s">
        <v>21</v>
      </c>
      <c r="Q186" s="5" t="s">
        <v>21</v>
      </c>
      <c r="R186" s="5" t="s">
        <v>21</v>
      </c>
      <c r="S186" s="5" t="s">
        <v>21</v>
      </c>
      <c r="T186" s="5" t="s">
        <v>3665</v>
      </c>
      <c r="U186" s="5" t="s">
        <v>3666</v>
      </c>
      <c r="V186" s="5" t="s">
        <v>3667</v>
      </c>
      <c r="W186" s="5" t="s">
        <v>3668</v>
      </c>
      <c r="X186" s="5" t="s">
        <v>3669</v>
      </c>
      <c r="Y186" s="5" t="s">
        <v>3670</v>
      </c>
      <c r="Z186" s="5" t="s">
        <v>3671</v>
      </c>
      <c r="AA186" s="5" t="s">
        <v>3672</v>
      </c>
      <c r="AB186" s="5" t="s">
        <v>21</v>
      </c>
      <c r="AC186" s="5" t="s">
        <v>21</v>
      </c>
      <c r="AD186" s="5" t="s">
        <v>21</v>
      </c>
      <c r="AE186" s="5" t="s">
        <v>21</v>
      </c>
      <c r="AF186" s="5">
        <v>60</v>
      </c>
      <c r="AG186" s="5">
        <v>13</v>
      </c>
      <c r="AH186" s="5">
        <v>14</v>
      </c>
      <c r="AI186" s="5">
        <v>10</v>
      </c>
      <c r="AJ186" s="5">
        <v>128</v>
      </c>
      <c r="AK186" s="5" t="s">
        <v>3673</v>
      </c>
      <c r="AL186" s="5" t="s">
        <v>3674</v>
      </c>
      <c r="AM186" s="5" t="s">
        <v>3675</v>
      </c>
      <c r="AN186" s="5" t="s">
        <v>3676</v>
      </c>
      <c r="AO186" s="5" t="s">
        <v>21</v>
      </c>
      <c r="AP186" s="5" t="s">
        <v>21</v>
      </c>
      <c r="AQ186" s="5" t="s">
        <v>3677</v>
      </c>
      <c r="AR186" s="5" t="s">
        <v>3678</v>
      </c>
      <c r="AS186" s="5" t="s">
        <v>21</v>
      </c>
      <c r="AT186" s="5">
        <v>2017</v>
      </c>
      <c r="AU186" s="5">
        <v>35</v>
      </c>
      <c r="AV186" s="5">
        <v>3</v>
      </c>
      <c r="AW186" s="5" t="s">
        <v>21</v>
      </c>
      <c r="AX186" s="5" t="s">
        <v>21</v>
      </c>
      <c r="AY186" s="5" t="s">
        <v>21</v>
      </c>
      <c r="AZ186" s="5" t="s">
        <v>21</v>
      </c>
      <c r="BA186" s="5">
        <v>247</v>
      </c>
      <c r="BB186" s="5">
        <v>258</v>
      </c>
      <c r="BC186" s="5" t="s">
        <v>21</v>
      </c>
      <c r="BD186" s="5" t="s">
        <v>3679</v>
      </c>
      <c r="BE186" s="5" t="str">
        <f>HYPERLINK("http://dx.doi.org/10.4067/S0718-48082017000300247","http://dx.doi.org/10.4067/S0718-48082017000300247")</f>
        <v>http://dx.doi.org/10.4067/S0718-48082017000300247</v>
      </c>
      <c r="BF186" s="5" t="s">
        <v>21</v>
      </c>
      <c r="BG186" s="5" t="s">
        <v>21</v>
      </c>
      <c r="BH186" s="5">
        <v>12</v>
      </c>
      <c r="BI186" s="5" t="s">
        <v>992</v>
      </c>
      <c r="BJ186" s="5" t="s">
        <v>45</v>
      </c>
      <c r="BK186" s="5" t="s">
        <v>46</v>
      </c>
      <c r="BL186" s="5" t="s">
        <v>3680</v>
      </c>
      <c r="BM186" s="5" t="s">
        <v>21</v>
      </c>
      <c r="BN186" s="5" t="s">
        <v>409</v>
      </c>
      <c r="BO186" s="5" t="s">
        <v>21</v>
      </c>
      <c r="BP186" s="5" t="s">
        <v>21</v>
      </c>
      <c r="BQ186" s="5" t="s">
        <v>49</v>
      </c>
      <c r="BR186" s="5" t="s">
        <v>3681</v>
      </c>
      <c r="BS186" s="5" t="str">
        <f>HYPERLINK("https%3A%2F%2Fwww.webofscience.com%2Fwos%2Fwoscc%2Ffull-record%2FWOS:000426593300005","View Full Record in Web of Science")</f>
        <v>View Full Record in Web of Science</v>
      </c>
    </row>
    <row r="187" spans="1:71" x14ac:dyDescent="0.25">
      <c r="A187" t="s">
        <v>19</v>
      </c>
      <c r="B187" s="5" t="s">
        <v>3682</v>
      </c>
      <c r="C187" s="5" t="s">
        <v>21</v>
      </c>
      <c r="D187" s="5" t="s">
        <v>21</v>
      </c>
      <c r="E187" s="5" t="s">
        <v>21</v>
      </c>
      <c r="F187" s="5" t="s">
        <v>3683</v>
      </c>
      <c r="G187" s="5" t="s">
        <v>21</v>
      </c>
      <c r="H187" s="5" t="s">
        <v>21</v>
      </c>
      <c r="I187" s="5" t="s">
        <v>3684</v>
      </c>
      <c r="J187" s="12" t="s">
        <v>3685</v>
      </c>
      <c r="K187" s="5" t="s">
        <v>21</v>
      </c>
      <c r="L187" s="5" t="s">
        <v>21</v>
      </c>
      <c r="M187" s="5" t="s">
        <v>25</v>
      </c>
      <c r="N187" s="5" t="s">
        <v>26</v>
      </c>
      <c r="O187" s="5" t="s">
        <v>21</v>
      </c>
      <c r="P187" s="5" t="s">
        <v>21</v>
      </c>
      <c r="Q187" s="5" t="s">
        <v>21</v>
      </c>
      <c r="R187" s="5" t="s">
        <v>21</v>
      </c>
      <c r="S187" s="5" t="s">
        <v>21</v>
      </c>
      <c r="T187" s="5" t="s">
        <v>3686</v>
      </c>
      <c r="U187" s="5" t="s">
        <v>3687</v>
      </c>
      <c r="V187" s="5" t="s">
        <v>3688</v>
      </c>
      <c r="W187" s="5" t="s">
        <v>3689</v>
      </c>
      <c r="X187" s="5" t="s">
        <v>3690</v>
      </c>
      <c r="Y187" s="5" t="s">
        <v>3691</v>
      </c>
      <c r="Z187" s="5" t="s">
        <v>1127</v>
      </c>
      <c r="AA187" s="5" t="s">
        <v>3692</v>
      </c>
      <c r="AB187" s="5" t="s">
        <v>3693</v>
      </c>
      <c r="AC187" s="5" t="s">
        <v>3694</v>
      </c>
      <c r="AD187" s="5" t="s">
        <v>3695</v>
      </c>
      <c r="AE187" s="5" t="s">
        <v>3696</v>
      </c>
      <c r="AF187" s="5">
        <v>73</v>
      </c>
      <c r="AG187" s="5">
        <v>12</v>
      </c>
      <c r="AH187" s="5">
        <v>14</v>
      </c>
      <c r="AI187" s="5">
        <v>3</v>
      </c>
      <c r="AJ187" s="5">
        <v>37</v>
      </c>
      <c r="AK187" s="5" t="s">
        <v>1377</v>
      </c>
      <c r="AL187" s="5" t="s">
        <v>64</v>
      </c>
      <c r="AM187" s="5" t="s">
        <v>1378</v>
      </c>
      <c r="AN187" s="5" t="s">
        <v>3697</v>
      </c>
      <c r="AO187" s="5" t="s">
        <v>3698</v>
      </c>
      <c r="AP187" s="5" t="s">
        <v>21</v>
      </c>
      <c r="AQ187" s="5" t="s">
        <v>3699</v>
      </c>
      <c r="AR187" s="5" t="s">
        <v>3700</v>
      </c>
      <c r="AS187" s="5" t="s">
        <v>269</v>
      </c>
      <c r="AT187" s="5">
        <v>2022</v>
      </c>
      <c r="AU187" s="5">
        <v>14</v>
      </c>
      <c r="AV187" s="5">
        <v>1</v>
      </c>
      <c r="AW187" s="5" t="s">
        <v>21</v>
      </c>
      <c r="AX187" s="5" t="s">
        <v>21</v>
      </c>
      <c r="AY187" s="5" t="s">
        <v>21</v>
      </c>
      <c r="AZ187" s="5" t="s">
        <v>21</v>
      </c>
      <c r="BA187" s="5" t="s">
        <v>21</v>
      </c>
      <c r="BB187" s="5" t="s">
        <v>21</v>
      </c>
      <c r="BC187" s="5">
        <v>9</v>
      </c>
      <c r="BD187" s="5" t="s">
        <v>3701</v>
      </c>
      <c r="BE187" s="5" t="str">
        <f>HYPERLINK("http://dx.doi.org/10.1186/s11689-022-09417-1","http://dx.doi.org/10.1186/s11689-022-09417-1")</f>
        <v>http://dx.doi.org/10.1186/s11689-022-09417-1</v>
      </c>
      <c r="BF187" s="5" t="s">
        <v>21</v>
      </c>
      <c r="BG187" s="5" t="s">
        <v>21</v>
      </c>
      <c r="BH187" s="5">
        <v>12</v>
      </c>
      <c r="BI187" s="5" t="s">
        <v>2735</v>
      </c>
      <c r="BJ187" s="5" t="s">
        <v>92</v>
      </c>
      <c r="BK187" s="5" t="s">
        <v>1167</v>
      </c>
      <c r="BL187" s="5" t="s">
        <v>3702</v>
      </c>
      <c r="BM187" s="5">
        <v>35078414</v>
      </c>
      <c r="BN187" s="5" t="s">
        <v>163</v>
      </c>
      <c r="BO187" s="5" t="s">
        <v>21</v>
      </c>
      <c r="BP187" s="5" t="s">
        <v>21</v>
      </c>
      <c r="BQ187" s="5" t="s">
        <v>49</v>
      </c>
      <c r="BR187" s="5" t="s">
        <v>3703</v>
      </c>
      <c r="BS187" s="5" t="str">
        <f>HYPERLINK("https%3A%2F%2Fwww.webofscience.com%2Fwos%2Fwoscc%2Ffull-record%2FWOS:000749193600001","View Full Record in Web of Science")</f>
        <v>View Full Record in Web of Science</v>
      </c>
    </row>
    <row r="188" spans="1:71" x14ac:dyDescent="0.25">
      <c r="A188" t="s">
        <v>19</v>
      </c>
      <c r="B188" s="5" t="s">
        <v>3704</v>
      </c>
      <c r="C188" s="5" t="s">
        <v>21</v>
      </c>
      <c r="D188" s="5" t="s">
        <v>21</v>
      </c>
      <c r="E188" s="5" t="s">
        <v>21</v>
      </c>
      <c r="F188" s="5" t="s">
        <v>3705</v>
      </c>
      <c r="G188" s="5" t="s">
        <v>21</v>
      </c>
      <c r="H188" s="5" t="s">
        <v>21</v>
      </c>
      <c r="I188" s="5" t="s">
        <v>3706</v>
      </c>
      <c r="J188" s="12" t="s">
        <v>54</v>
      </c>
      <c r="K188" s="5" t="s">
        <v>21</v>
      </c>
      <c r="L188" s="5" t="s">
        <v>21</v>
      </c>
      <c r="M188" s="5" t="s">
        <v>25</v>
      </c>
      <c r="N188" s="5" t="s">
        <v>76</v>
      </c>
      <c r="O188" s="5" t="s">
        <v>21</v>
      </c>
      <c r="P188" s="5" t="s">
        <v>21</v>
      </c>
      <c r="Q188" s="5" t="s">
        <v>21</v>
      </c>
      <c r="R188" s="5" t="s">
        <v>21</v>
      </c>
      <c r="S188" s="5" t="s">
        <v>21</v>
      </c>
      <c r="T188" s="5" t="s">
        <v>3707</v>
      </c>
      <c r="U188" s="5" t="s">
        <v>3708</v>
      </c>
      <c r="V188" s="5" t="s">
        <v>3709</v>
      </c>
      <c r="W188" s="5" t="s">
        <v>3710</v>
      </c>
      <c r="X188" s="5" t="s">
        <v>3711</v>
      </c>
      <c r="Y188" s="5" t="s">
        <v>3712</v>
      </c>
      <c r="Z188" s="5" t="s">
        <v>3713</v>
      </c>
      <c r="AA188" s="5" t="s">
        <v>3714</v>
      </c>
      <c r="AB188" s="5" t="s">
        <v>3715</v>
      </c>
      <c r="AC188" s="5" t="s">
        <v>3716</v>
      </c>
      <c r="AD188" s="5" t="s">
        <v>3717</v>
      </c>
      <c r="AE188" s="5" t="s">
        <v>3718</v>
      </c>
      <c r="AF188" s="5">
        <v>106</v>
      </c>
      <c r="AG188" s="5">
        <v>12</v>
      </c>
      <c r="AH188" s="5">
        <v>12</v>
      </c>
      <c r="AI188" s="5">
        <v>7</v>
      </c>
      <c r="AJ188" s="5">
        <v>49</v>
      </c>
      <c r="AK188" s="5" t="s">
        <v>63</v>
      </c>
      <c r="AL188" s="5" t="s">
        <v>64</v>
      </c>
      <c r="AM188" s="5" t="s">
        <v>65</v>
      </c>
      <c r="AN188" s="5" t="s">
        <v>66</v>
      </c>
      <c r="AO188" s="5" t="s">
        <v>67</v>
      </c>
      <c r="AP188" s="5" t="s">
        <v>21</v>
      </c>
      <c r="AQ188" s="5" t="s">
        <v>54</v>
      </c>
      <c r="AR188" s="5" t="s">
        <v>68</v>
      </c>
      <c r="AS188" s="5" t="s">
        <v>42</v>
      </c>
      <c r="AT188" s="5">
        <v>2024</v>
      </c>
      <c r="AU188" s="5">
        <v>28</v>
      </c>
      <c r="AV188" s="5">
        <v>1</v>
      </c>
      <c r="AW188" s="5" t="s">
        <v>21</v>
      </c>
      <c r="AX188" s="5" t="s">
        <v>21</v>
      </c>
      <c r="AY188" s="5" t="s">
        <v>501</v>
      </c>
      <c r="AZ188" s="5" t="s">
        <v>21</v>
      </c>
      <c r="BA188" s="5">
        <v>6</v>
      </c>
      <c r="BB188" s="5">
        <v>31</v>
      </c>
      <c r="BC188" s="5" t="s">
        <v>21</v>
      </c>
      <c r="BD188" s="5" t="s">
        <v>3719</v>
      </c>
      <c r="BE188" s="5" t="str">
        <f>HYPERLINK("http://dx.doi.org/10.1177/13623613221133176","http://dx.doi.org/10.1177/13623613221133176")</f>
        <v>http://dx.doi.org/10.1177/13623613221133176</v>
      </c>
      <c r="BF188" s="5" t="s">
        <v>21</v>
      </c>
      <c r="BG188" s="5" t="s">
        <v>1849</v>
      </c>
      <c r="BH188" s="5">
        <v>26</v>
      </c>
      <c r="BI188" s="5" t="s">
        <v>44</v>
      </c>
      <c r="BJ188" s="5" t="s">
        <v>45</v>
      </c>
      <c r="BK188" s="5" t="s">
        <v>46</v>
      </c>
      <c r="BL188" s="5" t="s">
        <v>3720</v>
      </c>
      <c r="BM188" s="5">
        <v>36336996</v>
      </c>
      <c r="BN188" s="5" t="s">
        <v>2105</v>
      </c>
      <c r="BO188" s="5" t="s">
        <v>21</v>
      </c>
      <c r="BP188" s="5" t="s">
        <v>21</v>
      </c>
      <c r="BQ188" s="5" t="s">
        <v>49</v>
      </c>
      <c r="BR188" s="5" t="s">
        <v>3721</v>
      </c>
      <c r="BS188" s="5" t="str">
        <f>HYPERLINK("https%3A%2F%2Fwww.webofscience.com%2Fwos%2Fwoscc%2Ffull-record%2FWOS:000879566800001","View Full Record in Web of Science")</f>
        <v>View Full Record in Web of Science</v>
      </c>
    </row>
    <row r="189" spans="1:71" x14ac:dyDescent="0.25">
      <c r="A189" t="s">
        <v>19</v>
      </c>
      <c r="B189" s="5" t="s">
        <v>3722</v>
      </c>
      <c r="C189" s="5" t="s">
        <v>21</v>
      </c>
      <c r="D189" s="5" t="s">
        <v>21</v>
      </c>
      <c r="E189" s="5" t="s">
        <v>21</v>
      </c>
      <c r="F189" s="5" t="s">
        <v>3723</v>
      </c>
      <c r="G189" s="5" t="s">
        <v>21</v>
      </c>
      <c r="H189" s="5" t="s">
        <v>21</v>
      </c>
      <c r="I189" s="5" t="s">
        <v>3724</v>
      </c>
      <c r="J189" s="12" t="s">
        <v>1443</v>
      </c>
      <c r="K189" s="5" t="s">
        <v>21</v>
      </c>
      <c r="L189" s="5" t="s">
        <v>21</v>
      </c>
      <c r="M189" s="5" t="s">
        <v>25</v>
      </c>
      <c r="N189" s="5" t="s">
        <v>26</v>
      </c>
      <c r="O189" s="5" t="s">
        <v>21</v>
      </c>
      <c r="P189" s="5" t="s">
        <v>21</v>
      </c>
      <c r="Q189" s="5" t="s">
        <v>21</v>
      </c>
      <c r="R189" s="5" t="s">
        <v>21</v>
      </c>
      <c r="S189" s="5" t="s">
        <v>21</v>
      </c>
      <c r="T189" s="5" t="s">
        <v>3725</v>
      </c>
      <c r="U189" s="5" t="s">
        <v>3726</v>
      </c>
      <c r="V189" s="5" t="s">
        <v>3727</v>
      </c>
      <c r="W189" s="5" t="s">
        <v>3728</v>
      </c>
      <c r="X189" s="5" t="s">
        <v>3729</v>
      </c>
      <c r="Y189" s="5" t="s">
        <v>3730</v>
      </c>
      <c r="Z189" s="5" t="s">
        <v>3731</v>
      </c>
      <c r="AA189" s="5" t="s">
        <v>21</v>
      </c>
      <c r="AB189" s="5" t="s">
        <v>3732</v>
      </c>
      <c r="AC189" s="5" t="s">
        <v>3733</v>
      </c>
      <c r="AD189" s="5" t="s">
        <v>3734</v>
      </c>
      <c r="AE189" s="5" t="s">
        <v>3735</v>
      </c>
      <c r="AF189" s="5">
        <v>88</v>
      </c>
      <c r="AG189" s="5">
        <v>12</v>
      </c>
      <c r="AH189" s="5">
        <v>13</v>
      </c>
      <c r="AI189" s="5">
        <v>28</v>
      </c>
      <c r="AJ189" s="5">
        <v>107</v>
      </c>
      <c r="AK189" s="5" t="s">
        <v>493</v>
      </c>
      <c r="AL189" s="5" t="s">
        <v>494</v>
      </c>
      <c r="AM189" s="5" t="s">
        <v>495</v>
      </c>
      <c r="AN189" s="5" t="s">
        <v>1453</v>
      </c>
      <c r="AO189" s="5" t="s">
        <v>1454</v>
      </c>
      <c r="AP189" s="5" t="s">
        <v>21</v>
      </c>
      <c r="AQ189" s="5" t="s">
        <v>1455</v>
      </c>
      <c r="AR189" s="5" t="s">
        <v>1456</v>
      </c>
      <c r="AS189" s="5" t="s">
        <v>3736</v>
      </c>
      <c r="AT189" s="5">
        <v>2024</v>
      </c>
      <c r="AU189" s="5">
        <v>32</v>
      </c>
      <c r="AV189" s="5">
        <v>3</v>
      </c>
      <c r="AW189" s="5" t="s">
        <v>21</v>
      </c>
      <c r="AX189" s="5" t="s">
        <v>21</v>
      </c>
      <c r="AY189" s="5" t="s">
        <v>21</v>
      </c>
      <c r="AZ189" s="5" t="s">
        <v>21</v>
      </c>
      <c r="BA189" s="5">
        <v>1012</v>
      </c>
      <c r="BB189" s="5">
        <v>1035</v>
      </c>
      <c r="BC189" s="5" t="s">
        <v>21</v>
      </c>
      <c r="BD189" s="5" t="s">
        <v>3737</v>
      </c>
      <c r="BE189" s="5" t="str">
        <f>HYPERLINK("http://dx.doi.org/10.1080/10494820.2022.2107681","http://dx.doi.org/10.1080/10494820.2022.2107681")</f>
        <v>http://dx.doi.org/10.1080/10494820.2022.2107681</v>
      </c>
      <c r="BF189" s="5" t="s">
        <v>21</v>
      </c>
      <c r="BG189" s="5" t="s">
        <v>3738</v>
      </c>
      <c r="BH189" s="5">
        <v>24</v>
      </c>
      <c r="BI189" s="5" t="s">
        <v>503</v>
      </c>
      <c r="BJ189" s="5" t="s">
        <v>45</v>
      </c>
      <c r="BK189" s="5" t="s">
        <v>503</v>
      </c>
      <c r="BL189" s="5" t="s">
        <v>3739</v>
      </c>
      <c r="BM189" s="5" t="s">
        <v>21</v>
      </c>
      <c r="BN189" s="5" t="s">
        <v>137</v>
      </c>
      <c r="BO189" s="5" t="s">
        <v>21</v>
      </c>
      <c r="BP189" s="5" t="s">
        <v>21</v>
      </c>
      <c r="BQ189" s="5" t="s">
        <v>49</v>
      </c>
      <c r="BR189" s="5" t="s">
        <v>3740</v>
      </c>
      <c r="BS189" s="5" t="str">
        <f>HYPERLINK("https%3A%2F%2Fwww.webofscience.com%2Fwos%2Fwoscc%2Ffull-record%2FWOS:000838013700001","View Full Record in Web of Science")</f>
        <v>View Full Record in Web of Science</v>
      </c>
    </row>
    <row r="190" spans="1:71" x14ac:dyDescent="0.25">
      <c r="A190" t="s">
        <v>19</v>
      </c>
      <c r="B190" s="5" t="s">
        <v>3741</v>
      </c>
      <c r="C190" s="5" t="s">
        <v>21</v>
      </c>
      <c r="D190" s="5" t="s">
        <v>21</v>
      </c>
      <c r="E190" s="5" t="s">
        <v>21</v>
      </c>
      <c r="F190" s="5" t="s">
        <v>3742</v>
      </c>
      <c r="G190" s="5" t="s">
        <v>21</v>
      </c>
      <c r="H190" s="5" t="s">
        <v>21</v>
      </c>
      <c r="I190" s="5" t="s">
        <v>3743</v>
      </c>
      <c r="J190" s="12" t="s">
        <v>3744</v>
      </c>
      <c r="K190" s="5" t="s">
        <v>21</v>
      </c>
      <c r="L190" s="5" t="s">
        <v>21</v>
      </c>
      <c r="M190" s="5" t="s">
        <v>25</v>
      </c>
      <c r="N190" s="5" t="s">
        <v>26</v>
      </c>
      <c r="O190" s="5" t="s">
        <v>21</v>
      </c>
      <c r="P190" s="5" t="s">
        <v>21</v>
      </c>
      <c r="Q190" s="5" t="s">
        <v>21</v>
      </c>
      <c r="R190" s="5" t="s">
        <v>21</v>
      </c>
      <c r="S190" s="5" t="s">
        <v>21</v>
      </c>
      <c r="T190" s="5" t="s">
        <v>3745</v>
      </c>
      <c r="U190" s="5" t="s">
        <v>3746</v>
      </c>
      <c r="V190" s="5" t="s">
        <v>3747</v>
      </c>
      <c r="W190" s="5" t="s">
        <v>3748</v>
      </c>
      <c r="X190" s="5" t="s">
        <v>3749</v>
      </c>
      <c r="Y190" s="5" t="s">
        <v>2215</v>
      </c>
      <c r="Z190" s="5" t="s">
        <v>1692</v>
      </c>
      <c r="AA190" s="5" t="s">
        <v>3750</v>
      </c>
      <c r="AB190" s="5" t="s">
        <v>3751</v>
      </c>
      <c r="AC190" s="5" t="s">
        <v>3752</v>
      </c>
      <c r="AD190" s="5" t="s">
        <v>3753</v>
      </c>
      <c r="AE190" s="5" t="s">
        <v>3754</v>
      </c>
      <c r="AF190" s="5">
        <v>41</v>
      </c>
      <c r="AG190" s="5">
        <v>12</v>
      </c>
      <c r="AH190" s="5">
        <v>12</v>
      </c>
      <c r="AI190" s="5">
        <v>10</v>
      </c>
      <c r="AJ190" s="5">
        <v>23</v>
      </c>
      <c r="AK190" s="5" t="s">
        <v>733</v>
      </c>
      <c r="AL190" s="5" t="s">
        <v>734</v>
      </c>
      <c r="AM190" s="5" t="s">
        <v>735</v>
      </c>
      <c r="AN190" s="5" t="s">
        <v>3755</v>
      </c>
      <c r="AO190" s="5" t="s">
        <v>3756</v>
      </c>
      <c r="AP190" s="5" t="s">
        <v>21</v>
      </c>
      <c r="AQ190" s="5" t="s">
        <v>3757</v>
      </c>
      <c r="AR190" s="5" t="s">
        <v>3758</v>
      </c>
      <c r="AS190" s="5" t="s">
        <v>543</v>
      </c>
      <c r="AT190" s="5">
        <v>2022</v>
      </c>
      <c r="AU190" s="5">
        <v>45</v>
      </c>
      <c r="AV190" s="5">
        <v>4</v>
      </c>
      <c r="AW190" s="5" t="s">
        <v>21</v>
      </c>
      <c r="AX190" s="5" t="s">
        <v>21</v>
      </c>
      <c r="AY190" s="5" t="s">
        <v>21</v>
      </c>
      <c r="AZ190" s="5" t="s">
        <v>21</v>
      </c>
      <c r="BA190" s="5">
        <v>213</v>
      </c>
      <c r="BB190" s="5">
        <v>227</v>
      </c>
      <c r="BC190" s="5" t="s">
        <v>21</v>
      </c>
      <c r="BD190" s="5" t="s">
        <v>3759</v>
      </c>
      <c r="BE190" s="5" t="str">
        <f>HYPERLINK("http://dx.doi.org/10.1177/21651434221081273","http://dx.doi.org/10.1177/21651434221081273")</f>
        <v>http://dx.doi.org/10.1177/21651434221081273</v>
      </c>
      <c r="BF190" s="5" t="s">
        <v>21</v>
      </c>
      <c r="BG190" s="5" t="s">
        <v>3439</v>
      </c>
      <c r="BH190" s="5">
        <v>15</v>
      </c>
      <c r="BI190" s="5" t="s">
        <v>887</v>
      </c>
      <c r="BJ190" s="5" t="s">
        <v>45</v>
      </c>
      <c r="BK190" s="5" t="s">
        <v>888</v>
      </c>
      <c r="BL190" s="5" t="s">
        <v>3760</v>
      </c>
      <c r="BM190" s="5">
        <v>38882261</v>
      </c>
      <c r="BN190" s="5" t="s">
        <v>137</v>
      </c>
      <c r="BO190" s="5" t="s">
        <v>21</v>
      </c>
      <c r="BP190" s="5" t="s">
        <v>21</v>
      </c>
      <c r="BQ190" s="5" t="s">
        <v>49</v>
      </c>
      <c r="BR190" s="5" t="s">
        <v>3761</v>
      </c>
      <c r="BS190" s="5" t="str">
        <f>HYPERLINK("https%3A%2F%2Fwww.webofscience.com%2Fwos%2Fwoscc%2Ffull-record%2FWOS:000771601000001","View Full Record in Web of Science")</f>
        <v>View Full Record in Web of Science</v>
      </c>
    </row>
    <row r="191" spans="1:71" x14ac:dyDescent="0.25">
      <c r="A191" t="s">
        <v>19</v>
      </c>
      <c r="B191" s="5" t="s">
        <v>3762</v>
      </c>
      <c r="C191" s="5" t="s">
        <v>21</v>
      </c>
      <c r="D191" s="5" t="s">
        <v>21</v>
      </c>
      <c r="E191" s="5" t="s">
        <v>21</v>
      </c>
      <c r="F191" s="5" t="s">
        <v>3763</v>
      </c>
      <c r="G191" s="5" t="s">
        <v>21</v>
      </c>
      <c r="H191" s="5" t="s">
        <v>21</v>
      </c>
      <c r="I191" s="5" t="s">
        <v>3764</v>
      </c>
      <c r="J191" s="12" t="s">
        <v>3765</v>
      </c>
      <c r="K191" s="5" t="s">
        <v>21</v>
      </c>
      <c r="L191" s="5" t="s">
        <v>21</v>
      </c>
      <c r="M191" s="5" t="s">
        <v>25</v>
      </c>
      <c r="N191" s="5" t="s">
        <v>26</v>
      </c>
      <c r="O191" s="5" t="s">
        <v>21</v>
      </c>
      <c r="P191" s="5" t="s">
        <v>21</v>
      </c>
      <c r="Q191" s="5" t="s">
        <v>21</v>
      </c>
      <c r="R191" s="5" t="s">
        <v>21</v>
      </c>
      <c r="S191" s="5" t="s">
        <v>21</v>
      </c>
      <c r="T191" s="5" t="s">
        <v>3766</v>
      </c>
      <c r="U191" s="5" t="s">
        <v>3767</v>
      </c>
      <c r="V191" s="5" t="s">
        <v>3768</v>
      </c>
      <c r="W191" s="5" t="s">
        <v>3769</v>
      </c>
      <c r="X191" s="5" t="s">
        <v>3770</v>
      </c>
      <c r="Y191" s="5" t="s">
        <v>3771</v>
      </c>
      <c r="Z191" s="5" t="s">
        <v>3772</v>
      </c>
      <c r="AA191" s="5" t="s">
        <v>3773</v>
      </c>
      <c r="AB191" s="5" t="s">
        <v>3774</v>
      </c>
      <c r="AC191" s="5" t="s">
        <v>21</v>
      </c>
      <c r="AD191" s="5" t="s">
        <v>21</v>
      </c>
      <c r="AE191" s="5" t="s">
        <v>21</v>
      </c>
      <c r="AF191" s="5">
        <v>60</v>
      </c>
      <c r="AG191" s="5">
        <v>12</v>
      </c>
      <c r="AH191" s="5">
        <v>12</v>
      </c>
      <c r="AI191" s="5">
        <v>4</v>
      </c>
      <c r="AJ191" s="5">
        <v>36</v>
      </c>
      <c r="AK191" s="5" t="s">
        <v>3775</v>
      </c>
      <c r="AL191" s="5" t="s">
        <v>64</v>
      </c>
      <c r="AM191" s="5" t="s">
        <v>3776</v>
      </c>
      <c r="AN191" s="5" t="s">
        <v>3777</v>
      </c>
      <c r="AO191" s="5" t="s">
        <v>3778</v>
      </c>
      <c r="AP191" s="5" t="s">
        <v>21</v>
      </c>
      <c r="AQ191" s="5" t="s">
        <v>3779</v>
      </c>
      <c r="AR191" s="5" t="s">
        <v>3780</v>
      </c>
      <c r="AS191" s="5" t="s">
        <v>334</v>
      </c>
      <c r="AT191" s="5">
        <v>2022</v>
      </c>
      <c r="AU191" s="5">
        <v>158</v>
      </c>
      <c r="AV191" s="5" t="s">
        <v>21</v>
      </c>
      <c r="AW191" s="5" t="s">
        <v>21</v>
      </c>
      <c r="AX191" s="5" t="s">
        <v>21</v>
      </c>
      <c r="AY191" s="5" t="s">
        <v>21</v>
      </c>
      <c r="AZ191" s="5" t="s">
        <v>21</v>
      </c>
      <c r="BA191" s="5" t="s">
        <v>21</v>
      </c>
      <c r="BB191" s="5" t="s">
        <v>21</v>
      </c>
      <c r="BC191" s="5">
        <v>102734</v>
      </c>
      <c r="BD191" s="5" t="s">
        <v>3781</v>
      </c>
      <c r="BE191" s="5" t="str">
        <f>HYPERLINK("http://dx.doi.org/10.1016/j.ijhcs.2021.102734","http://dx.doi.org/10.1016/j.ijhcs.2021.102734")</f>
        <v>http://dx.doi.org/10.1016/j.ijhcs.2021.102734</v>
      </c>
      <c r="BF191" s="5" t="s">
        <v>21</v>
      </c>
      <c r="BG191" s="5" t="s">
        <v>21</v>
      </c>
      <c r="BH191" s="5">
        <v>10</v>
      </c>
      <c r="BI191" s="5" t="s">
        <v>3782</v>
      </c>
      <c r="BJ191" s="5" t="s">
        <v>92</v>
      </c>
      <c r="BK191" s="5" t="s">
        <v>3783</v>
      </c>
      <c r="BL191" s="5" t="s">
        <v>3784</v>
      </c>
      <c r="BM191" s="5" t="s">
        <v>21</v>
      </c>
      <c r="BN191" s="5" t="s">
        <v>21</v>
      </c>
      <c r="BO191" s="5" t="s">
        <v>21</v>
      </c>
      <c r="BP191" s="5" t="s">
        <v>21</v>
      </c>
      <c r="BQ191" s="5" t="s">
        <v>49</v>
      </c>
      <c r="BR191" s="5" t="s">
        <v>3785</v>
      </c>
      <c r="BS191" s="5" t="str">
        <f>HYPERLINK("https%3A%2F%2Fwww.webofscience.com%2Fwos%2Fwoscc%2Ffull-record%2FWOS:000782270600003","View Full Record in Web of Science")</f>
        <v>View Full Record in Web of Science</v>
      </c>
    </row>
    <row r="192" spans="1:71" x14ac:dyDescent="0.25">
      <c r="A192" t="s">
        <v>19</v>
      </c>
      <c r="B192" s="5" t="s">
        <v>3786</v>
      </c>
      <c r="C192" s="5" t="s">
        <v>21</v>
      </c>
      <c r="D192" s="5" t="s">
        <v>21</v>
      </c>
      <c r="E192" s="5" t="s">
        <v>21</v>
      </c>
      <c r="F192" s="5" t="s">
        <v>3787</v>
      </c>
      <c r="G192" s="5" t="s">
        <v>21</v>
      </c>
      <c r="H192" s="5" t="s">
        <v>21</v>
      </c>
      <c r="I192" s="5" t="s">
        <v>3788</v>
      </c>
      <c r="J192" s="12" t="s">
        <v>142</v>
      </c>
      <c r="K192" s="5" t="s">
        <v>21</v>
      </c>
      <c r="L192" s="5" t="s">
        <v>21</v>
      </c>
      <c r="M192" s="5" t="s">
        <v>25</v>
      </c>
      <c r="N192" s="5" t="s">
        <v>26</v>
      </c>
      <c r="O192" s="5" t="s">
        <v>21</v>
      </c>
      <c r="P192" s="5" t="s">
        <v>21</v>
      </c>
      <c r="Q192" s="5" t="s">
        <v>21</v>
      </c>
      <c r="R192" s="5" t="s">
        <v>21</v>
      </c>
      <c r="S192" s="5" t="s">
        <v>21</v>
      </c>
      <c r="T192" s="5" t="s">
        <v>3789</v>
      </c>
      <c r="U192" s="5" t="s">
        <v>3790</v>
      </c>
      <c r="V192" s="5" t="s">
        <v>3791</v>
      </c>
      <c r="W192" s="5" t="s">
        <v>3792</v>
      </c>
      <c r="X192" s="5" t="s">
        <v>3793</v>
      </c>
      <c r="Y192" s="5" t="s">
        <v>3794</v>
      </c>
      <c r="Z192" s="5" t="s">
        <v>3795</v>
      </c>
      <c r="AA192" s="5" t="s">
        <v>3796</v>
      </c>
      <c r="AB192" s="5" t="s">
        <v>3797</v>
      </c>
      <c r="AC192" s="5" t="s">
        <v>3798</v>
      </c>
      <c r="AD192" s="5" t="s">
        <v>3799</v>
      </c>
      <c r="AE192" s="5" t="s">
        <v>21</v>
      </c>
      <c r="AF192" s="5">
        <v>42</v>
      </c>
      <c r="AG192" s="5">
        <v>12</v>
      </c>
      <c r="AH192" s="5">
        <v>12</v>
      </c>
      <c r="AI192" s="5">
        <v>3</v>
      </c>
      <c r="AJ192" s="5">
        <v>28</v>
      </c>
      <c r="AK192" s="5" t="s">
        <v>153</v>
      </c>
      <c r="AL192" s="5" t="s">
        <v>154</v>
      </c>
      <c r="AM192" s="5" t="s">
        <v>155</v>
      </c>
      <c r="AN192" s="5" t="s">
        <v>156</v>
      </c>
      <c r="AO192" s="5" t="s">
        <v>21</v>
      </c>
      <c r="AP192" s="5" t="s">
        <v>21</v>
      </c>
      <c r="AQ192" s="5" t="s">
        <v>157</v>
      </c>
      <c r="AR192" s="5" t="s">
        <v>158</v>
      </c>
      <c r="AS192" s="5" t="s">
        <v>3800</v>
      </c>
      <c r="AT192" s="5">
        <v>2022</v>
      </c>
      <c r="AU192" s="5">
        <v>12</v>
      </c>
      <c r="AV192" s="5" t="s">
        <v>21</v>
      </c>
      <c r="AW192" s="5" t="s">
        <v>21</v>
      </c>
      <c r="AX192" s="5" t="s">
        <v>21</v>
      </c>
      <c r="AY192" s="5" t="s">
        <v>21</v>
      </c>
      <c r="AZ192" s="5" t="s">
        <v>21</v>
      </c>
      <c r="BA192" s="5" t="s">
        <v>21</v>
      </c>
      <c r="BB192" s="5" t="s">
        <v>21</v>
      </c>
      <c r="BC192" s="5">
        <v>704564</v>
      </c>
      <c r="BD192" s="5" t="s">
        <v>3801</v>
      </c>
      <c r="BE192" s="5" t="str">
        <f>HYPERLINK("http://dx.doi.org/10.3389/fpsyt.2021.704564","http://dx.doi.org/10.3389/fpsyt.2021.704564")</f>
        <v>http://dx.doi.org/10.3389/fpsyt.2021.704564</v>
      </c>
      <c r="BF192" s="5" t="s">
        <v>21</v>
      </c>
      <c r="BG192" s="5" t="s">
        <v>21</v>
      </c>
      <c r="BH192" s="5">
        <v>9</v>
      </c>
      <c r="BI192" s="5" t="s">
        <v>161</v>
      </c>
      <c r="BJ192" s="5" t="s">
        <v>92</v>
      </c>
      <c r="BK192" s="5" t="s">
        <v>161</v>
      </c>
      <c r="BL192" s="5" t="s">
        <v>3802</v>
      </c>
      <c r="BM192" s="5">
        <v>35140635</v>
      </c>
      <c r="BN192" s="5" t="s">
        <v>864</v>
      </c>
      <c r="BO192" s="5" t="s">
        <v>21</v>
      </c>
      <c r="BP192" s="5" t="s">
        <v>21</v>
      </c>
      <c r="BQ192" s="5" t="s">
        <v>49</v>
      </c>
      <c r="BR192" s="5" t="s">
        <v>3803</v>
      </c>
      <c r="BS192" s="5" t="str">
        <f>HYPERLINK("https%3A%2F%2Fwww.webofscience.com%2Fwos%2Fwoscc%2Ffull-record%2FWOS:000810866000001","View Full Record in Web of Science")</f>
        <v>View Full Record in Web of Science</v>
      </c>
    </row>
    <row r="193" spans="1:71" x14ac:dyDescent="0.25">
      <c r="A193" t="s">
        <v>19</v>
      </c>
      <c r="B193" s="5" t="s">
        <v>3804</v>
      </c>
      <c r="C193" s="5" t="s">
        <v>21</v>
      </c>
      <c r="D193" s="5" t="s">
        <v>21</v>
      </c>
      <c r="E193" s="5" t="s">
        <v>21</v>
      </c>
      <c r="F193" s="5" t="s">
        <v>3805</v>
      </c>
      <c r="G193" s="5" t="s">
        <v>21</v>
      </c>
      <c r="H193" s="5" t="s">
        <v>21</v>
      </c>
      <c r="I193" s="5" t="s">
        <v>3806</v>
      </c>
      <c r="J193" s="12" t="s">
        <v>3807</v>
      </c>
      <c r="K193" s="5" t="s">
        <v>21</v>
      </c>
      <c r="L193" s="5" t="s">
        <v>21</v>
      </c>
      <c r="M193" s="5" t="s">
        <v>25</v>
      </c>
      <c r="N193" s="5" t="s">
        <v>26</v>
      </c>
      <c r="O193" s="5" t="s">
        <v>21</v>
      </c>
      <c r="P193" s="5" t="s">
        <v>21</v>
      </c>
      <c r="Q193" s="5" t="s">
        <v>21</v>
      </c>
      <c r="R193" s="5" t="s">
        <v>21</v>
      </c>
      <c r="S193" s="5" t="s">
        <v>21</v>
      </c>
      <c r="T193" s="5" t="s">
        <v>3808</v>
      </c>
      <c r="U193" s="5" t="s">
        <v>3809</v>
      </c>
      <c r="V193" s="5" t="s">
        <v>3810</v>
      </c>
      <c r="W193" s="5" t="s">
        <v>3811</v>
      </c>
      <c r="X193" s="5" t="s">
        <v>3812</v>
      </c>
      <c r="Y193" s="5" t="s">
        <v>3813</v>
      </c>
      <c r="Z193" s="5" t="s">
        <v>3814</v>
      </c>
      <c r="AA193" s="5" t="s">
        <v>3815</v>
      </c>
      <c r="AB193" s="5" t="s">
        <v>21</v>
      </c>
      <c r="AC193" s="5" t="s">
        <v>21</v>
      </c>
      <c r="AD193" s="5" t="s">
        <v>21</v>
      </c>
      <c r="AE193" s="5" t="s">
        <v>21</v>
      </c>
      <c r="AF193" s="5">
        <v>32</v>
      </c>
      <c r="AG193" s="5">
        <v>12</v>
      </c>
      <c r="AH193" s="5">
        <v>13</v>
      </c>
      <c r="AI193" s="5">
        <v>5</v>
      </c>
      <c r="AJ193" s="5">
        <v>30</v>
      </c>
      <c r="AK193" s="5" t="s">
        <v>349</v>
      </c>
      <c r="AL193" s="5" t="s">
        <v>350</v>
      </c>
      <c r="AM193" s="5" t="s">
        <v>351</v>
      </c>
      <c r="AN193" s="5" t="s">
        <v>3816</v>
      </c>
      <c r="AO193" s="5" t="s">
        <v>3817</v>
      </c>
      <c r="AP193" s="5" t="s">
        <v>21</v>
      </c>
      <c r="AQ193" s="5" t="s">
        <v>3818</v>
      </c>
      <c r="AR193" s="5" t="s">
        <v>3819</v>
      </c>
      <c r="AS193" s="5" t="s">
        <v>3820</v>
      </c>
      <c r="AT193" s="5">
        <v>2021</v>
      </c>
      <c r="AU193" s="5">
        <v>3</v>
      </c>
      <c r="AV193" s="5">
        <v>2</v>
      </c>
      <c r="AW193" s="5" t="s">
        <v>21</v>
      </c>
      <c r="AX193" s="5" t="s">
        <v>21</v>
      </c>
      <c r="AY193" s="5" t="s">
        <v>21</v>
      </c>
      <c r="AZ193" s="5" t="s">
        <v>21</v>
      </c>
      <c r="BA193" s="5">
        <v>168</v>
      </c>
      <c r="BB193" s="5">
        <v>178</v>
      </c>
      <c r="BC193" s="5" t="s">
        <v>21</v>
      </c>
      <c r="BD193" s="5" t="s">
        <v>3821</v>
      </c>
      <c r="BE193" s="5" t="str">
        <f>HYPERLINK("http://dx.doi.org/10.1089/aut.2020.0009","http://dx.doi.org/10.1089/aut.2020.0009")</f>
        <v>http://dx.doi.org/10.1089/aut.2020.0009</v>
      </c>
      <c r="BF193" s="5" t="s">
        <v>21</v>
      </c>
      <c r="BG193" s="5" t="s">
        <v>21</v>
      </c>
      <c r="BH193" s="5">
        <v>11</v>
      </c>
      <c r="BI193" s="5" t="s">
        <v>3822</v>
      </c>
      <c r="BJ193" s="5" t="s">
        <v>1907</v>
      </c>
      <c r="BK193" s="5" t="s">
        <v>2044</v>
      </c>
      <c r="BL193" s="5" t="s">
        <v>3823</v>
      </c>
      <c r="BM193" s="5">
        <v>36601464</v>
      </c>
      <c r="BN193" s="5" t="s">
        <v>1302</v>
      </c>
      <c r="BO193" s="5" t="s">
        <v>21</v>
      </c>
      <c r="BP193" s="5" t="s">
        <v>21</v>
      </c>
      <c r="BQ193" s="5" t="s">
        <v>49</v>
      </c>
      <c r="BR193" s="5" t="s">
        <v>3824</v>
      </c>
      <c r="BS193" s="5" t="str">
        <f>HYPERLINK("https%3A%2F%2Fwww.webofscience.com%2Fwos%2Fwoscc%2Ffull-record%2FWOS:000663084700006","View Full Record in Web of Science")</f>
        <v>View Full Record in Web of Science</v>
      </c>
    </row>
    <row r="194" spans="1:71" x14ac:dyDescent="0.25">
      <c r="A194" t="s">
        <v>19</v>
      </c>
      <c r="B194" s="5" t="s">
        <v>3825</v>
      </c>
      <c r="C194" s="5" t="s">
        <v>21</v>
      </c>
      <c r="D194" s="5" t="s">
        <v>21</v>
      </c>
      <c r="E194" s="5" t="s">
        <v>21</v>
      </c>
      <c r="F194" s="5" t="s">
        <v>3826</v>
      </c>
      <c r="G194" s="5" t="s">
        <v>21</v>
      </c>
      <c r="H194" s="5" t="s">
        <v>21</v>
      </c>
      <c r="I194" s="5" t="s">
        <v>3827</v>
      </c>
      <c r="J194" s="12" t="s">
        <v>3828</v>
      </c>
      <c r="K194" s="5" t="s">
        <v>21</v>
      </c>
      <c r="L194" s="5" t="s">
        <v>21</v>
      </c>
      <c r="M194" s="5" t="s">
        <v>25</v>
      </c>
      <c r="N194" s="5" t="s">
        <v>26</v>
      </c>
      <c r="O194" s="5" t="s">
        <v>21</v>
      </c>
      <c r="P194" s="5" t="s">
        <v>21</v>
      </c>
      <c r="Q194" s="5" t="s">
        <v>21</v>
      </c>
      <c r="R194" s="5" t="s">
        <v>21</v>
      </c>
      <c r="S194" s="5" t="s">
        <v>21</v>
      </c>
      <c r="T194" s="5" t="s">
        <v>3829</v>
      </c>
      <c r="U194" s="5" t="s">
        <v>3830</v>
      </c>
      <c r="V194" s="5" t="s">
        <v>3831</v>
      </c>
      <c r="W194" s="5" t="s">
        <v>3832</v>
      </c>
      <c r="X194" s="5" t="s">
        <v>3833</v>
      </c>
      <c r="Y194" s="5" t="s">
        <v>3834</v>
      </c>
      <c r="Z194" s="5" t="s">
        <v>21</v>
      </c>
      <c r="AA194" s="5" t="s">
        <v>3835</v>
      </c>
      <c r="AB194" s="5" t="s">
        <v>21</v>
      </c>
      <c r="AC194" s="5" t="s">
        <v>3836</v>
      </c>
      <c r="AD194" s="5" t="s">
        <v>3836</v>
      </c>
      <c r="AE194" s="5" t="s">
        <v>3837</v>
      </c>
      <c r="AF194" s="5">
        <v>20</v>
      </c>
      <c r="AG194" s="5">
        <v>12</v>
      </c>
      <c r="AH194" s="5">
        <v>14</v>
      </c>
      <c r="AI194" s="5">
        <v>0</v>
      </c>
      <c r="AJ194" s="5">
        <v>39</v>
      </c>
      <c r="AK194" s="5" t="s">
        <v>3838</v>
      </c>
      <c r="AL194" s="5" t="s">
        <v>3839</v>
      </c>
      <c r="AM194" s="5" t="s">
        <v>3840</v>
      </c>
      <c r="AN194" s="5" t="s">
        <v>3841</v>
      </c>
      <c r="AO194" s="5" t="s">
        <v>3842</v>
      </c>
      <c r="AP194" s="5" t="s">
        <v>21</v>
      </c>
      <c r="AQ194" s="5" t="s">
        <v>3843</v>
      </c>
      <c r="AR194" s="5" t="s">
        <v>3844</v>
      </c>
      <c r="AS194" s="5" t="s">
        <v>89</v>
      </c>
      <c r="AT194" s="5">
        <v>2013</v>
      </c>
      <c r="AU194" s="5">
        <v>3</v>
      </c>
      <c r="AV194" s="5">
        <v>2</v>
      </c>
      <c r="AW194" s="5" t="s">
        <v>21</v>
      </c>
      <c r="AX194" s="5" t="s">
        <v>21</v>
      </c>
      <c r="AY194" s="5" t="s">
        <v>21</v>
      </c>
      <c r="AZ194" s="5" t="s">
        <v>21</v>
      </c>
      <c r="BA194" s="5">
        <v>321</v>
      </c>
      <c r="BB194" s="5">
        <v>325</v>
      </c>
      <c r="BC194" s="5" t="s">
        <v>21</v>
      </c>
      <c r="BD194" s="5" t="s">
        <v>3845</v>
      </c>
      <c r="BE194" s="5" t="str">
        <f>HYPERLINK("http://dx.doi.org/10.1166/jmihi.2013.1167","http://dx.doi.org/10.1166/jmihi.2013.1167")</f>
        <v>http://dx.doi.org/10.1166/jmihi.2013.1167</v>
      </c>
      <c r="BF194" s="5" t="s">
        <v>21</v>
      </c>
      <c r="BG194" s="5" t="s">
        <v>21</v>
      </c>
      <c r="BH194" s="5">
        <v>5</v>
      </c>
      <c r="BI194" s="5" t="s">
        <v>3846</v>
      </c>
      <c r="BJ194" s="5" t="s">
        <v>92</v>
      </c>
      <c r="BK194" s="5" t="s">
        <v>3846</v>
      </c>
      <c r="BL194" s="5" t="s">
        <v>3847</v>
      </c>
      <c r="BM194" s="5" t="s">
        <v>21</v>
      </c>
      <c r="BN194" s="5" t="s">
        <v>21</v>
      </c>
      <c r="BO194" s="5" t="s">
        <v>21</v>
      </c>
      <c r="BP194" s="5" t="s">
        <v>21</v>
      </c>
      <c r="BQ194" s="5" t="s">
        <v>49</v>
      </c>
      <c r="BR194" s="5" t="s">
        <v>3848</v>
      </c>
      <c r="BS194" s="5" t="str">
        <f>HYPERLINK("https%3A%2F%2Fwww.webofscience.com%2Fwos%2Fwoscc%2Ffull-record%2FWOS:000322605100024","View Full Record in Web of Science")</f>
        <v>View Full Record in Web of Science</v>
      </c>
    </row>
    <row r="195" spans="1:71" x14ac:dyDescent="0.25">
      <c r="A195" t="s">
        <v>19</v>
      </c>
      <c r="B195" s="5" t="s">
        <v>3849</v>
      </c>
      <c r="C195" s="5" t="s">
        <v>21</v>
      </c>
      <c r="D195" s="5" t="s">
        <v>21</v>
      </c>
      <c r="E195" s="5" t="s">
        <v>21</v>
      </c>
      <c r="F195" s="5" t="s">
        <v>3850</v>
      </c>
      <c r="G195" s="5" t="s">
        <v>21</v>
      </c>
      <c r="H195" s="5" t="s">
        <v>21</v>
      </c>
      <c r="I195" s="5" t="s">
        <v>3851</v>
      </c>
      <c r="J195" s="12" t="s">
        <v>2329</v>
      </c>
      <c r="K195" s="5" t="s">
        <v>21</v>
      </c>
      <c r="L195" s="5" t="s">
        <v>21</v>
      </c>
      <c r="M195" s="5" t="s">
        <v>25</v>
      </c>
      <c r="N195" s="5" t="s">
        <v>26</v>
      </c>
      <c r="O195" s="5" t="s">
        <v>21</v>
      </c>
      <c r="P195" s="5" t="s">
        <v>21</v>
      </c>
      <c r="Q195" s="5" t="s">
        <v>21</v>
      </c>
      <c r="R195" s="5" t="s">
        <v>21</v>
      </c>
      <c r="S195" s="5" t="s">
        <v>21</v>
      </c>
      <c r="T195" s="5" t="s">
        <v>3852</v>
      </c>
      <c r="U195" s="5" t="s">
        <v>3853</v>
      </c>
      <c r="V195" s="5" t="s">
        <v>3854</v>
      </c>
      <c r="W195" s="5" t="s">
        <v>3855</v>
      </c>
      <c r="X195" s="5" t="s">
        <v>3856</v>
      </c>
      <c r="Y195" s="5" t="s">
        <v>3857</v>
      </c>
      <c r="Z195" s="5" t="s">
        <v>3858</v>
      </c>
      <c r="AA195" s="5" t="s">
        <v>3859</v>
      </c>
      <c r="AB195" s="5" t="s">
        <v>3860</v>
      </c>
      <c r="AC195" s="5" t="s">
        <v>21</v>
      </c>
      <c r="AD195" s="5" t="s">
        <v>21</v>
      </c>
      <c r="AE195" s="5" t="s">
        <v>21</v>
      </c>
      <c r="AF195" s="5">
        <v>85</v>
      </c>
      <c r="AG195" s="5">
        <v>11</v>
      </c>
      <c r="AH195" s="5">
        <v>12</v>
      </c>
      <c r="AI195" s="5">
        <v>9</v>
      </c>
      <c r="AJ195" s="5">
        <v>37</v>
      </c>
      <c r="AK195" s="5" t="s">
        <v>153</v>
      </c>
      <c r="AL195" s="5" t="s">
        <v>154</v>
      </c>
      <c r="AM195" s="5" t="s">
        <v>155</v>
      </c>
      <c r="AN195" s="5" t="s">
        <v>2342</v>
      </c>
      <c r="AO195" s="5" t="s">
        <v>21</v>
      </c>
      <c r="AP195" s="5" t="s">
        <v>21</v>
      </c>
      <c r="AQ195" s="5" t="s">
        <v>2343</v>
      </c>
      <c r="AR195" s="5" t="s">
        <v>2344</v>
      </c>
      <c r="AS195" s="5" t="s">
        <v>3861</v>
      </c>
      <c r="AT195" s="5">
        <v>2023</v>
      </c>
      <c r="AU195" s="5">
        <v>14</v>
      </c>
      <c r="AV195" s="5" t="s">
        <v>21</v>
      </c>
      <c r="AW195" s="5" t="s">
        <v>21</v>
      </c>
      <c r="AX195" s="5" t="s">
        <v>21</v>
      </c>
      <c r="AY195" s="5" t="s">
        <v>21</v>
      </c>
      <c r="AZ195" s="5" t="s">
        <v>21</v>
      </c>
      <c r="BA195" s="5" t="s">
        <v>21</v>
      </c>
      <c r="BB195" s="5" t="s">
        <v>21</v>
      </c>
      <c r="BC195" s="5">
        <v>1140731</v>
      </c>
      <c r="BD195" s="5" t="s">
        <v>3862</v>
      </c>
      <c r="BE195" s="5" t="str">
        <f>HYPERLINK("http://dx.doi.org/10.3389/fpsyg.2023.1140731","http://dx.doi.org/10.3389/fpsyg.2023.1140731")</f>
        <v>http://dx.doi.org/10.3389/fpsyg.2023.1140731</v>
      </c>
      <c r="BF195" s="5" t="s">
        <v>21</v>
      </c>
      <c r="BG195" s="5" t="s">
        <v>21</v>
      </c>
      <c r="BH195" s="5">
        <v>13</v>
      </c>
      <c r="BI195" s="5" t="s">
        <v>825</v>
      </c>
      <c r="BJ195" s="5" t="s">
        <v>45</v>
      </c>
      <c r="BK195" s="5" t="s">
        <v>46</v>
      </c>
      <c r="BL195" s="5" t="s">
        <v>3863</v>
      </c>
      <c r="BM195" s="5">
        <v>37089733</v>
      </c>
      <c r="BN195" s="5" t="s">
        <v>864</v>
      </c>
      <c r="BO195" s="5" t="s">
        <v>21</v>
      </c>
      <c r="BP195" s="5" t="s">
        <v>21</v>
      </c>
      <c r="BQ195" s="5" t="s">
        <v>49</v>
      </c>
      <c r="BR195" s="5" t="s">
        <v>3864</v>
      </c>
      <c r="BS195" s="5" t="str">
        <f>HYPERLINK("https%3A%2F%2Fwww.webofscience.com%2Fwos%2Fwoscc%2Ffull-record%2FWOS:000971354800001","View Full Record in Web of Science")</f>
        <v>View Full Record in Web of Science</v>
      </c>
    </row>
    <row r="196" spans="1:71" x14ac:dyDescent="0.25">
      <c r="A196" t="s">
        <v>19</v>
      </c>
      <c r="B196" s="5" t="s">
        <v>3865</v>
      </c>
      <c r="C196" s="5" t="s">
        <v>21</v>
      </c>
      <c r="D196" s="5" t="s">
        <v>21</v>
      </c>
      <c r="E196" s="5" t="s">
        <v>21</v>
      </c>
      <c r="F196" s="5" t="s">
        <v>3866</v>
      </c>
      <c r="G196" s="5" t="s">
        <v>21</v>
      </c>
      <c r="H196" s="5" t="s">
        <v>21</v>
      </c>
      <c r="I196" s="5" t="s">
        <v>3867</v>
      </c>
      <c r="J196" s="12" t="s">
        <v>3868</v>
      </c>
      <c r="K196" s="5" t="s">
        <v>21</v>
      </c>
      <c r="L196" s="5" t="s">
        <v>21</v>
      </c>
      <c r="M196" s="5" t="s">
        <v>25</v>
      </c>
      <c r="N196" s="5" t="s">
        <v>26</v>
      </c>
      <c r="O196" s="5" t="s">
        <v>21</v>
      </c>
      <c r="P196" s="5" t="s">
        <v>21</v>
      </c>
      <c r="Q196" s="5" t="s">
        <v>21</v>
      </c>
      <c r="R196" s="5" t="s">
        <v>21</v>
      </c>
      <c r="S196" s="5" t="s">
        <v>21</v>
      </c>
      <c r="T196" s="5" t="s">
        <v>3869</v>
      </c>
      <c r="U196" s="5" t="s">
        <v>3870</v>
      </c>
      <c r="V196" s="5" t="s">
        <v>3871</v>
      </c>
      <c r="W196" s="5" t="s">
        <v>3872</v>
      </c>
      <c r="X196" s="5" t="s">
        <v>3873</v>
      </c>
      <c r="Y196" s="5" t="s">
        <v>3874</v>
      </c>
      <c r="Z196" s="5" t="s">
        <v>3875</v>
      </c>
      <c r="AA196" s="5" t="s">
        <v>3876</v>
      </c>
      <c r="AB196" s="5" t="s">
        <v>3877</v>
      </c>
      <c r="AC196" s="5" t="s">
        <v>21</v>
      </c>
      <c r="AD196" s="5" t="s">
        <v>21</v>
      </c>
      <c r="AE196" s="5" t="s">
        <v>21</v>
      </c>
      <c r="AF196" s="5">
        <v>29</v>
      </c>
      <c r="AG196" s="5">
        <v>11</v>
      </c>
      <c r="AH196" s="5">
        <v>12</v>
      </c>
      <c r="AI196" s="5">
        <v>9</v>
      </c>
      <c r="AJ196" s="5">
        <v>70</v>
      </c>
      <c r="AK196" s="5" t="s">
        <v>193</v>
      </c>
      <c r="AL196" s="5" t="s">
        <v>194</v>
      </c>
      <c r="AM196" s="5" t="s">
        <v>195</v>
      </c>
      <c r="AN196" s="5" t="s">
        <v>21</v>
      </c>
      <c r="AO196" s="5" t="s">
        <v>3878</v>
      </c>
      <c r="AP196" s="5" t="s">
        <v>21</v>
      </c>
      <c r="AQ196" s="5" t="s">
        <v>3879</v>
      </c>
      <c r="AR196" s="5" t="s">
        <v>3880</v>
      </c>
      <c r="AS196" s="5" t="s">
        <v>42</v>
      </c>
      <c r="AT196" s="5">
        <v>2022</v>
      </c>
      <c r="AU196" s="5">
        <v>12</v>
      </c>
      <c r="AV196" s="5">
        <v>1</v>
      </c>
      <c r="AW196" s="5" t="s">
        <v>21</v>
      </c>
      <c r="AX196" s="5" t="s">
        <v>21</v>
      </c>
      <c r="AY196" s="5" t="s">
        <v>21</v>
      </c>
      <c r="AZ196" s="5" t="s">
        <v>21</v>
      </c>
      <c r="BA196" s="5" t="s">
        <v>21</v>
      </c>
      <c r="BB196" s="5" t="s">
        <v>21</v>
      </c>
      <c r="BC196" s="5">
        <v>41</v>
      </c>
      <c r="BD196" s="5" t="s">
        <v>3881</v>
      </c>
      <c r="BE196" s="5" t="str">
        <f>HYPERLINK("http://dx.doi.org/10.3390/brainsci12010041","http://dx.doi.org/10.3390/brainsci12010041")</f>
        <v>http://dx.doi.org/10.3390/brainsci12010041</v>
      </c>
      <c r="BF196" s="5" t="s">
        <v>21</v>
      </c>
      <c r="BG196" s="5" t="s">
        <v>21</v>
      </c>
      <c r="BH196" s="5">
        <v>10</v>
      </c>
      <c r="BI196" s="5" t="s">
        <v>1166</v>
      </c>
      <c r="BJ196" s="5" t="s">
        <v>524</v>
      </c>
      <c r="BK196" s="5" t="s">
        <v>1167</v>
      </c>
      <c r="BL196" s="5" t="s">
        <v>3882</v>
      </c>
      <c r="BM196" s="5">
        <v>35053785</v>
      </c>
      <c r="BN196" s="5" t="s">
        <v>163</v>
      </c>
      <c r="BO196" s="5" t="s">
        <v>21</v>
      </c>
      <c r="BP196" s="5" t="s">
        <v>21</v>
      </c>
      <c r="BQ196" s="5" t="s">
        <v>49</v>
      </c>
      <c r="BR196" s="5" t="s">
        <v>3883</v>
      </c>
      <c r="BS196" s="5" t="str">
        <f>HYPERLINK("https%3A%2F%2Fwww.webofscience.com%2Fwos%2Fwoscc%2Ffull-record%2FWOS:000747088000001","View Full Record in Web of Science")</f>
        <v>View Full Record in Web of Science</v>
      </c>
    </row>
    <row r="197" spans="1:71" x14ac:dyDescent="0.25">
      <c r="A197" t="s">
        <v>19</v>
      </c>
      <c r="B197" s="5" t="s">
        <v>3884</v>
      </c>
      <c r="C197" s="5" t="s">
        <v>21</v>
      </c>
      <c r="D197" s="5" t="s">
        <v>21</v>
      </c>
      <c r="E197" s="5" t="s">
        <v>21</v>
      </c>
      <c r="F197" s="5" t="s">
        <v>3885</v>
      </c>
      <c r="G197" s="5" t="s">
        <v>21</v>
      </c>
      <c r="H197" s="5" t="s">
        <v>21</v>
      </c>
      <c r="I197" s="5" t="s">
        <v>3886</v>
      </c>
      <c r="J197" s="12" t="s">
        <v>3887</v>
      </c>
      <c r="K197" s="5" t="s">
        <v>21</v>
      </c>
      <c r="L197" s="5" t="s">
        <v>21</v>
      </c>
      <c r="M197" s="5" t="s">
        <v>25</v>
      </c>
      <c r="N197" s="5" t="s">
        <v>26</v>
      </c>
      <c r="O197" s="5" t="s">
        <v>21</v>
      </c>
      <c r="P197" s="5" t="s">
        <v>21</v>
      </c>
      <c r="Q197" s="5" t="s">
        <v>21</v>
      </c>
      <c r="R197" s="5" t="s">
        <v>21</v>
      </c>
      <c r="S197" s="5" t="s">
        <v>21</v>
      </c>
      <c r="T197" s="5" t="s">
        <v>3888</v>
      </c>
      <c r="U197" s="5" t="s">
        <v>3889</v>
      </c>
      <c r="V197" s="5" t="s">
        <v>3890</v>
      </c>
      <c r="W197" s="5" t="s">
        <v>3891</v>
      </c>
      <c r="X197" s="5" t="s">
        <v>3892</v>
      </c>
      <c r="Y197" s="5" t="s">
        <v>3893</v>
      </c>
      <c r="Z197" s="5" t="s">
        <v>3894</v>
      </c>
      <c r="AA197" s="5" t="s">
        <v>3895</v>
      </c>
      <c r="AB197" s="5" t="s">
        <v>3896</v>
      </c>
      <c r="AC197" s="5" t="s">
        <v>3897</v>
      </c>
      <c r="AD197" s="5" t="s">
        <v>3898</v>
      </c>
      <c r="AE197" s="5" t="s">
        <v>3899</v>
      </c>
      <c r="AF197" s="5">
        <v>22</v>
      </c>
      <c r="AG197" s="5">
        <v>11</v>
      </c>
      <c r="AH197" s="5">
        <v>11</v>
      </c>
      <c r="AI197" s="5">
        <v>2</v>
      </c>
      <c r="AJ197" s="5">
        <v>26</v>
      </c>
      <c r="AK197" s="5" t="s">
        <v>3900</v>
      </c>
      <c r="AL197" s="5" t="s">
        <v>64</v>
      </c>
      <c r="AM197" s="5" t="s">
        <v>3901</v>
      </c>
      <c r="AN197" s="5" t="s">
        <v>3902</v>
      </c>
      <c r="AO197" s="5" t="s">
        <v>21</v>
      </c>
      <c r="AP197" s="5" t="s">
        <v>21</v>
      </c>
      <c r="AQ197" s="5" t="s">
        <v>3887</v>
      </c>
      <c r="AR197" s="5" t="s">
        <v>3903</v>
      </c>
      <c r="AS197" s="5" t="s">
        <v>116</v>
      </c>
      <c r="AT197" s="5">
        <v>2021</v>
      </c>
      <c r="AU197" s="5">
        <v>11</v>
      </c>
      <c r="AV197" s="5">
        <v>9</v>
      </c>
      <c r="AW197" s="5" t="s">
        <v>21</v>
      </c>
      <c r="AX197" s="5" t="s">
        <v>21</v>
      </c>
      <c r="AY197" s="5" t="s">
        <v>21</v>
      </c>
      <c r="AZ197" s="5" t="s">
        <v>21</v>
      </c>
      <c r="BA197" s="5" t="s">
        <v>21</v>
      </c>
      <c r="BB197" s="5" t="s">
        <v>21</v>
      </c>
      <c r="BC197" s="5" t="s">
        <v>3904</v>
      </c>
      <c r="BD197" s="5" t="s">
        <v>3905</v>
      </c>
      <c r="BE197" s="5" t="str">
        <f>HYPERLINK("http://dx.doi.org/10.1136/bmjopen-2021-051184","http://dx.doi.org/10.1136/bmjopen-2021-051184")</f>
        <v>http://dx.doi.org/10.1136/bmjopen-2021-051184</v>
      </c>
      <c r="BF197" s="5" t="s">
        <v>21</v>
      </c>
      <c r="BG197" s="5" t="s">
        <v>21</v>
      </c>
      <c r="BH197" s="5">
        <v>11</v>
      </c>
      <c r="BI197" s="5" t="s">
        <v>1603</v>
      </c>
      <c r="BJ197" s="5" t="s">
        <v>92</v>
      </c>
      <c r="BK197" s="5" t="s">
        <v>1604</v>
      </c>
      <c r="BL197" s="5" t="s">
        <v>3906</v>
      </c>
      <c r="BM197" s="5">
        <v>34521673</v>
      </c>
      <c r="BN197" s="5" t="s">
        <v>864</v>
      </c>
      <c r="BO197" s="5" t="s">
        <v>21</v>
      </c>
      <c r="BP197" s="5" t="s">
        <v>21</v>
      </c>
      <c r="BQ197" s="5" t="s">
        <v>49</v>
      </c>
      <c r="BR197" s="5" t="s">
        <v>3907</v>
      </c>
      <c r="BS197" s="5" t="str">
        <f>HYPERLINK("https%3A%2F%2Fwww.webofscience.com%2Fwos%2Fwoscc%2Ffull-record%2FWOS:000698586600050","View Full Record in Web of Science")</f>
        <v>View Full Record in Web of Science</v>
      </c>
    </row>
    <row r="198" spans="1:71" x14ac:dyDescent="0.25">
      <c r="A198" t="s">
        <v>19</v>
      </c>
      <c r="B198" s="5" t="s">
        <v>3908</v>
      </c>
      <c r="C198" s="5" t="s">
        <v>21</v>
      </c>
      <c r="D198" s="5" t="s">
        <v>21</v>
      </c>
      <c r="E198" s="5" t="s">
        <v>21</v>
      </c>
      <c r="F198" s="5" t="s">
        <v>3909</v>
      </c>
      <c r="G198" s="5" t="s">
        <v>21</v>
      </c>
      <c r="H198" s="5" t="s">
        <v>21</v>
      </c>
      <c r="I198" s="5" t="s">
        <v>3910</v>
      </c>
      <c r="J198" s="12" t="s">
        <v>3807</v>
      </c>
      <c r="K198" s="5" t="s">
        <v>21</v>
      </c>
      <c r="L198" s="5" t="s">
        <v>21</v>
      </c>
      <c r="M198" s="5" t="s">
        <v>25</v>
      </c>
      <c r="N198" s="5" t="s">
        <v>26</v>
      </c>
      <c r="O198" s="5" t="s">
        <v>21</v>
      </c>
      <c r="P198" s="5" t="s">
        <v>21</v>
      </c>
      <c r="Q198" s="5" t="s">
        <v>21</v>
      </c>
      <c r="R198" s="5" t="s">
        <v>21</v>
      </c>
      <c r="S198" s="5" t="s">
        <v>21</v>
      </c>
      <c r="T198" s="5" t="s">
        <v>3911</v>
      </c>
      <c r="U198" s="5" t="s">
        <v>3912</v>
      </c>
      <c r="V198" s="5" t="s">
        <v>3913</v>
      </c>
      <c r="W198" s="5" t="s">
        <v>3914</v>
      </c>
      <c r="X198" s="5" t="s">
        <v>21</v>
      </c>
      <c r="Y198" s="5" t="s">
        <v>3915</v>
      </c>
      <c r="Z198" s="5" t="s">
        <v>3916</v>
      </c>
      <c r="AA198" s="5" t="s">
        <v>1778</v>
      </c>
      <c r="AB198" s="5" t="s">
        <v>1779</v>
      </c>
      <c r="AC198" s="5" t="s">
        <v>3917</v>
      </c>
      <c r="AD198" s="5" t="s">
        <v>3917</v>
      </c>
      <c r="AE198" s="5" t="s">
        <v>3918</v>
      </c>
      <c r="AF198" s="5">
        <v>41</v>
      </c>
      <c r="AG198" s="5">
        <v>11</v>
      </c>
      <c r="AH198" s="5">
        <v>12</v>
      </c>
      <c r="AI198" s="5">
        <v>5</v>
      </c>
      <c r="AJ198" s="5">
        <v>22</v>
      </c>
      <c r="AK198" s="5" t="s">
        <v>349</v>
      </c>
      <c r="AL198" s="5" t="s">
        <v>350</v>
      </c>
      <c r="AM198" s="5" t="s">
        <v>351</v>
      </c>
      <c r="AN198" s="5" t="s">
        <v>3816</v>
      </c>
      <c r="AO198" s="5" t="s">
        <v>3817</v>
      </c>
      <c r="AP198" s="5" t="s">
        <v>21</v>
      </c>
      <c r="AQ198" s="5" t="s">
        <v>3818</v>
      </c>
      <c r="AR198" s="5" t="s">
        <v>3819</v>
      </c>
      <c r="AS198" s="5" t="s">
        <v>269</v>
      </c>
      <c r="AT198" s="5">
        <v>2020</v>
      </c>
      <c r="AU198" s="5">
        <v>2</v>
      </c>
      <c r="AV198" s="5">
        <v>4</v>
      </c>
      <c r="AW198" s="5" t="s">
        <v>21</v>
      </c>
      <c r="AX198" s="5" t="s">
        <v>21</v>
      </c>
      <c r="AY198" s="5" t="s">
        <v>21</v>
      </c>
      <c r="AZ198" s="5" t="s">
        <v>21</v>
      </c>
      <c r="BA198" s="5">
        <v>325</v>
      </c>
      <c r="BB198" s="5">
        <v>333</v>
      </c>
      <c r="BC198" s="5" t="s">
        <v>21</v>
      </c>
      <c r="BD198" s="5" t="s">
        <v>3919</v>
      </c>
      <c r="BE198" s="5" t="str">
        <f>HYPERLINK("http://dx.doi.org/10.1089/aut.2019.0076","http://dx.doi.org/10.1089/aut.2019.0076")</f>
        <v>http://dx.doi.org/10.1089/aut.2019.0076</v>
      </c>
      <c r="BF198" s="5" t="s">
        <v>21</v>
      </c>
      <c r="BG198" s="5" t="s">
        <v>21</v>
      </c>
      <c r="BH198" s="5">
        <v>9</v>
      </c>
      <c r="BI198" s="5" t="s">
        <v>3822</v>
      </c>
      <c r="BJ198" s="5" t="s">
        <v>1907</v>
      </c>
      <c r="BK198" s="5" t="s">
        <v>2044</v>
      </c>
      <c r="BL198" s="5" t="s">
        <v>3920</v>
      </c>
      <c r="BM198" s="5">
        <v>36600956</v>
      </c>
      <c r="BN198" s="5" t="s">
        <v>1302</v>
      </c>
      <c r="BO198" s="5" t="s">
        <v>21</v>
      </c>
      <c r="BP198" s="5" t="s">
        <v>21</v>
      </c>
      <c r="BQ198" s="5" t="s">
        <v>49</v>
      </c>
      <c r="BR198" s="5" t="s">
        <v>3921</v>
      </c>
      <c r="BS198" s="5" t="str">
        <f>HYPERLINK("https%3A%2F%2Fwww.webofscience.com%2Fwos%2Fwoscc%2Ffull-record%2FWOS:000751271400009","View Full Record in Web of Science")</f>
        <v>View Full Record in Web of Science</v>
      </c>
    </row>
    <row r="199" spans="1:71" x14ac:dyDescent="0.25">
      <c r="A199" t="s">
        <v>19</v>
      </c>
      <c r="B199" s="5" t="s">
        <v>3922</v>
      </c>
      <c r="C199" s="5" t="s">
        <v>21</v>
      </c>
      <c r="D199" s="5" t="s">
        <v>21</v>
      </c>
      <c r="E199" s="5" t="s">
        <v>21</v>
      </c>
      <c r="F199" s="5" t="s">
        <v>3923</v>
      </c>
      <c r="G199" s="5" t="s">
        <v>21</v>
      </c>
      <c r="H199" s="5" t="s">
        <v>21</v>
      </c>
      <c r="I199" s="5" t="s">
        <v>3924</v>
      </c>
      <c r="J199" s="12" t="s">
        <v>646</v>
      </c>
      <c r="K199" s="5" t="s">
        <v>21</v>
      </c>
      <c r="L199" s="5" t="s">
        <v>21</v>
      </c>
      <c r="M199" s="5" t="s">
        <v>25</v>
      </c>
      <c r="N199" s="5" t="s">
        <v>26</v>
      </c>
      <c r="O199" s="5" t="s">
        <v>21</v>
      </c>
      <c r="P199" s="5" t="s">
        <v>21</v>
      </c>
      <c r="Q199" s="5" t="s">
        <v>21</v>
      </c>
      <c r="R199" s="5" t="s">
        <v>21</v>
      </c>
      <c r="S199" s="5" t="s">
        <v>21</v>
      </c>
      <c r="T199" s="5" t="s">
        <v>3925</v>
      </c>
      <c r="U199" s="5" t="s">
        <v>3926</v>
      </c>
      <c r="V199" s="5" t="s">
        <v>3927</v>
      </c>
      <c r="W199" s="5" t="s">
        <v>3928</v>
      </c>
      <c r="X199" s="5" t="s">
        <v>3929</v>
      </c>
      <c r="Y199" s="5" t="s">
        <v>3930</v>
      </c>
      <c r="Z199" s="5" t="s">
        <v>3931</v>
      </c>
      <c r="AA199" s="5" t="s">
        <v>3932</v>
      </c>
      <c r="AB199" s="5" t="s">
        <v>3933</v>
      </c>
      <c r="AC199" s="5" t="s">
        <v>3934</v>
      </c>
      <c r="AD199" s="5" t="s">
        <v>3935</v>
      </c>
      <c r="AE199" s="5" t="s">
        <v>3936</v>
      </c>
      <c r="AF199" s="5">
        <v>25</v>
      </c>
      <c r="AG199" s="5">
        <v>11</v>
      </c>
      <c r="AH199" s="5">
        <v>11</v>
      </c>
      <c r="AI199" s="5">
        <v>2</v>
      </c>
      <c r="AJ199" s="5">
        <v>21</v>
      </c>
      <c r="AK199" s="5" t="s">
        <v>659</v>
      </c>
      <c r="AL199" s="5" t="s">
        <v>660</v>
      </c>
      <c r="AM199" s="5" t="s">
        <v>661</v>
      </c>
      <c r="AN199" s="5" t="s">
        <v>662</v>
      </c>
      <c r="AO199" s="5" t="s">
        <v>663</v>
      </c>
      <c r="AP199" s="5" t="s">
        <v>21</v>
      </c>
      <c r="AQ199" s="5" t="s">
        <v>664</v>
      </c>
      <c r="AR199" s="5" t="s">
        <v>665</v>
      </c>
      <c r="AS199" s="5" t="s">
        <v>543</v>
      </c>
      <c r="AT199" s="5">
        <v>2020</v>
      </c>
      <c r="AU199" s="5">
        <v>28</v>
      </c>
      <c r="AV199" s="5">
        <v>11</v>
      </c>
      <c r="AW199" s="5" t="s">
        <v>21</v>
      </c>
      <c r="AX199" s="5" t="s">
        <v>21</v>
      </c>
      <c r="AY199" s="5" t="s">
        <v>21</v>
      </c>
      <c r="AZ199" s="5" t="s">
        <v>21</v>
      </c>
      <c r="BA199" s="5">
        <v>2443</v>
      </c>
      <c r="BB199" s="5">
        <v>2450</v>
      </c>
      <c r="BC199" s="5" t="s">
        <v>21</v>
      </c>
      <c r="BD199" s="5" t="s">
        <v>3937</v>
      </c>
      <c r="BE199" s="5" t="str">
        <f>HYPERLINK("http://dx.doi.org/10.1109/TNSRE.2020.3026655","http://dx.doi.org/10.1109/TNSRE.2020.3026655")</f>
        <v>http://dx.doi.org/10.1109/TNSRE.2020.3026655</v>
      </c>
      <c r="BF199" s="5" t="s">
        <v>21</v>
      </c>
      <c r="BG199" s="5" t="s">
        <v>21</v>
      </c>
      <c r="BH199" s="5">
        <v>8</v>
      </c>
      <c r="BI199" s="5" t="s">
        <v>667</v>
      </c>
      <c r="BJ199" s="5" t="s">
        <v>92</v>
      </c>
      <c r="BK199" s="5" t="s">
        <v>668</v>
      </c>
      <c r="BL199" s="5" t="s">
        <v>3938</v>
      </c>
      <c r="BM199" s="5">
        <v>32976104</v>
      </c>
      <c r="BN199" s="5" t="s">
        <v>21</v>
      </c>
      <c r="BO199" s="5" t="s">
        <v>21</v>
      </c>
      <c r="BP199" s="5" t="s">
        <v>21</v>
      </c>
      <c r="BQ199" s="5" t="s">
        <v>49</v>
      </c>
      <c r="BR199" s="5" t="s">
        <v>3939</v>
      </c>
      <c r="BS199" s="5" t="str">
        <f>HYPERLINK("https%3A%2F%2Fwww.webofscience.com%2Fwos%2Fwoscc%2Ffull-record%2FWOS:000589256200010","View Full Record in Web of Science")</f>
        <v>View Full Record in Web of Science</v>
      </c>
    </row>
    <row r="200" spans="1:71" x14ac:dyDescent="0.25">
      <c r="A200" t="s">
        <v>19</v>
      </c>
      <c r="B200" s="5" t="s">
        <v>3940</v>
      </c>
      <c r="C200" s="5" t="s">
        <v>21</v>
      </c>
      <c r="D200" s="5" t="s">
        <v>21</v>
      </c>
      <c r="E200" s="5" t="s">
        <v>21</v>
      </c>
      <c r="F200" s="5" t="s">
        <v>3941</v>
      </c>
      <c r="G200" s="5" t="s">
        <v>21</v>
      </c>
      <c r="H200" s="5" t="s">
        <v>21</v>
      </c>
      <c r="I200" s="5" t="s">
        <v>3942</v>
      </c>
      <c r="J200" s="12" t="s">
        <v>1872</v>
      </c>
      <c r="K200" s="5" t="s">
        <v>21</v>
      </c>
      <c r="L200" s="5" t="s">
        <v>21</v>
      </c>
      <c r="M200" s="5" t="s">
        <v>25</v>
      </c>
      <c r="N200" s="5" t="s">
        <v>26</v>
      </c>
      <c r="O200" s="5" t="s">
        <v>21</v>
      </c>
      <c r="P200" s="5" t="s">
        <v>21</v>
      </c>
      <c r="Q200" s="5" t="s">
        <v>21</v>
      </c>
      <c r="R200" s="5" t="s">
        <v>21</v>
      </c>
      <c r="S200" s="5" t="s">
        <v>21</v>
      </c>
      <c r="T200" s="5" t="s">
        <v>21</v>
      </c>
      <c r="U200" s="5" t="s">
        <v>3943</v>
      </c>
      <c r="V200" s="5" t="s">
        <v>3944</v>
      </c>
      <c r="W200" s="5" t="s">
        <v>3945</v>
      </c>
      <c r="X200" s="5" t="s">
        <v>3946</v>
      </c>
      <c r="Y200" s="5" t="s">
        <v>2545</v>
      </c>
      <c r="Z200" s="5" t="s">
        <v>3947</v>
      </c>
      <c r="AA200" s="5" t="s">
        <v>3948</v>
      </c>
      <c r="AB200" s="5" t="s">
        <v>21</v>
      </c>
      <c r="AC200" s="5" t="s">
        <v>21</v>
      </c>
      <c r="AD200" s="5" t="s">
        <v>21</v>
      </c>
      <c r="AE200" s="5" t="s">
        <v>21</v>
      </c>
      <c r="AF200" s="5">
        <v>35</v>
      </c>
      <c r="AG200" s="5">
        <v>11</v>
      </c>
      <c r="AH200" s="5">
        <v>18</v>
      </c>
      <c r="AI200" s="5">
        <v>2</v>
      </c>
      <c r="AJ200" s="5">
        <v>43</v>
      </c>
      <c r="AK200" s="5" t="s">
        <v>1883</v>
      </c>
      <c r="AL200" s="5" t="s">
        <v>1884</v>
      </c>
      <c r="AM200" s="5" t="s">
        <v>1885</v>
      </c>
      <c r="AN200" s="5" t="s">
        <v>1886</v>
      </c>
      <c r="AO200" s="5" t="s">
        <v>21</v>
      </c>
      <c r="AP200" s="5" t="s">
        <v>21</v>
      </c>
      <c r="AQ200" s="5" t="s">
        <v>1887</v>
      </c>
      <c r="AR200" s="5" t="s">
        <v>1888</v>
      </c>
      <c r="AS200" s="5" t="s">
        <v>89</v>
      </c>
      <c r="AT200" s="5">
        <v>2017</v>
      </c>
      <c r="AU200" s="5">
        <v>52</v>
      </c>
      <c r="AV200" s="5">
        <v>2</v>
      </c>
      <c r="AW200" s="5" t="s">
        <v>21</v>
      </c>
      <c r="AX200" s="5" t="s">
        <v>21</v>
      </c>
      <c r="AY200" s="5" t="s">
        <v>21</v>
      </c>
      <c r="AZ200" s="5" t="s">
        <v>21</v>
      </c>
      <c r="BA200" s="5">
        <v>120</v>
      </c>
      <c r="BB200" s="5">
        <v>131</v>
      </c>
      <c r="BC200" s="5" t="s">
        <v>21</v>
      </c>
      <c r="BD200" s="5" t="s">
        <v>21</v>
      </c>
      <c r="BE200" s="5" t="s">
        <v>21</v>
      </c>
      <c r="BF200" s="5" t="s">
        <v>21</v>
      </c>
      <c r="BG200" s="5" t="s">
        <v>21</v>
      </c>
      <c r="BH200" s="5">
        <v>12</v>
      </c>
      <c r="BI200" s="5" t="s">
        <v>887</v>
      </c>
      <c r="BJ200" s="5" t="s">
        <v>45</v>
      </c>
      <c r="BK200" s="5" t="s">
        <v>888</v>
      </c>
      <c r="BL200" s="5" t="s">
        <v>3949</v>
      </c>
      <c r="BM200" s="5" t="s">
        <v>21</v>
      </c>
      <c r="BN200" s="5" t="s">
        <v>21</v>
      </c>
      <c r="BO200" s="5" t="s">
        <v>21</v>
      </c>
      <c r="BP200" s="5" t="s">
        <v>21</v>
      </c>
      <c r="BQ200" s="5" t="s">
        <v>49</v>
      </c>
      <c r="BR200" s="5" t="s">
        <v>3950</v>
      </c>
      <c r="BS200" s="5" t="str">
        <f>HYPERLINK("https%3A%2F%2Fwww.webofscience.com%2Fwos%2Fwoscc%2Ffull-record%2FWOS:000401496000002","View Full Record in Web of Science")</f>
        <v>View Full Record in Web of Science</v>
      </c>
    </row>
    <row r="201" spans="1:71" x14ac:dyDescent="0.25">
      <c r="A201" t="s">
        <v>19</v>
      </c>
      <c r="B201" s="5" t="s">
        <v>3951</v>
      </c>
      <c r="C201" s="5" t="s">
        <v>21</v>
      </c>
      <c r="D201" s="5" t="s">
        <v>21</v>
      </c>
      <c r="E201" s="5" t="s">
        <v>21</v>
      </c>
      <c r="F201" s="5" t="s">
        <v>3952</v>
      </c>
      <c r="G201" s="5" t="s">
        <v>21</v>
      </c>
      <c r="H201" s="5" t="s">
        <v>21</v>
      </c>
      <c r="I201" s="5" t="s">
        <v>3953</v>
      </c>
      <c r="J201" s="12" t="s">
        <v>3954</v>
      </c>
      <c r="K201" s="5" t="s">
        <v>21</v>
      </c>
      <c r="L201" s="5" t="s">
        <v>21</v>
      </c>
      <c r="M201" s="5" t="s">
        <v>25</v>
      </c>
      <c r="N201" s="5" t="s">
        <v>26</v>
      </c>
      <c r="O201" s="5" t="s">
        <v>21</v>
      </c>
      <c r="P201" s="5" t="s">
        <v>21</v>
      </c>
      <c r="Q201" s="5" t="s">
        <v>21</v>
      </c>
      <c r="R201" s="5" t="s">
        <v>21</v>
      </c>
      <c r="S201" s="5" t="s">
        <v>21</v>
      </c>
      <c r="T201" s="5" t="s">
        <v>21</v>
      </c>
      <c r="U201" s="5" t="s">
        <v>3955</v>
      </c>
      <c r="V201" s="5" t="s">
        <v>3956</v>
      </c>
      <c r="W201" s="5" t="s">
        <v>3957</v>
      </c>
      <c r="X201" s="5" t="s">
        <v>3958</v>
      </c>
      <c r="Y201" s="5" t="s">
        <v>3959</v>
      </c>
      <c r="Z201" s="5" t="s">
        <v>3960</v>
      </c>
      <c r="AA201" s="5" t="s">
        <v>21</v>
      </c>
      <c r="AB201" s="5" t="s">
        <v>21</v>
      </c>
      <c r="AC201" s="5" t="s">
        <v>3961</v>
      </c>
      <c r="AD201" s="5" t="s">
        <v>3962</v>
      </c>
      <c r="AE201" s="5" t="s">
        <v>3963</v>
      </c>
      <c r="AF201" s="5">
        <v>20</v>
      </c>
      <c r="AG201" s="5">
        <v>11</v>
      </c>
      <c r="AH201" s="5">
        <v>12</v>
      </c>
      <c r="AI201" s="5">
        <v>2</v>
      </c>
      <c r="AJ201" s="5">
        <v>62</v>
      </c>
      <c r="AK201" s="5" t="s">
        <v>3964</v>
      </c>
      <c r="AL201" s="5" t="s">
        <v>3965</v>
      </c>
      <c r="AM201" s="5" t="s">
        <v>3966</v>
      </c>
      <c r="AN201" s="5" t="s">
        <v>3967</v>
      </c>
      <c r="AO201" s="5" t="s">
        <v>21</v>
      </c>
      <c r="AP201" s="5" t="s">
        <v>21</v>
      </c>
      <c r="AQ201" s="5" t="s">
        <v>3968</v>
      </c>
      <c r="AR201" s="5" t="s">
        <v>3969</v>
      </c>
      <c r="AS201" s="5" t="s">
        <v>69</v>
      </c>
      <c r="AT201" s="5">
        <v>2011</v>
      </c>
      <c r="AU201" s="5">
        <v>76</v>
      </c>
      <c r="AV201" s="5">
        <v>5</v>
      </c>
      <c r="AW201" s="5" t="s">
        <v>21</v>
      </c>
      <c r="AX201" s="5" t="s">
        <v>21</v>
      </c>
      <c r="AY201" s="5" t="s">
        <v>21</v>
      </c>
      <c r="AZ201" s="5" t="s">
        <v>21</v>
      </c>
      <c r="BA201" s="5">
        <v>646</v>
      </c>
      <c r="BB201" s="5">
        <v>647</v>
      </c>
      <c r="BC201" s="5" t="s">
        <v>21</v>
      </c>
      <c r="BD201" s="5" t="s">
        <v>3970</v>
      </c>
      <c r="BE201" s="5" t="str">
        <f>HYPERLINK("http://dx.doi.org/10.1016/j.mehy.2011.01.022","http://dx.doi.org/10.1016/j.mehy.2011.01.022")</f>
        <v>http://dx.doi.org/10.1016/j.mehy.2011.01.022</v>
      </c>
      <c r="BF201" s="5" t="s">
        <v>21</v>
      </c>
      <c r="BG201" s="5" t="s">
        <v>21</v>
      </c>
      <c r="BH201" s="5">
        <v>2</v>
      </c>
      <c r="BI201" s="5" t="s">
        <v>3481</v>
      </c>
      <c r="BJ201" s="5" t="s">
        <v>92</v>
      </c>
      <c r="BK201" s="5" t="s">
        <v>3482</v>
      </c>
      <c r="BL201" s="5" t="s">
        <v>3971</v>
      </c>
      <c r="BM201" s="5">
        <v>21300442</v>
      </c>
      <c r="BN201" s="5" t="s">
        <v>21</v>
      </c>
      <c r="BO201" s="5" t="s">
        <v>21</v>
      </c>
      <c r="BP201" s="5" t="s">
        <v>21</v>
      </c>
      <c r="BQ201" s="5" t="s">
        <v>49</v>
      </c>
      <c r="BR201" s="5" t="s">
        <v>3972</v>
      </c>
      <c r="BS201" s="5" t="str">
        <f>HYPERLINK("https%3A%2F%2Fwww.webofscience.com%2Fwos%2Fwoscc%2Ffull-record%2FWOS:000290084600010","View Full Record in Web of Science")</f>
        <v>View Full Record in Web of Science</v>
      </c>
    </row>
    <row r="202" spans="1:71" x14ac:dyDescent="0.25">
      <c r="A202" t="s">
        <v>19</v>
      </c>
      <c r="B202" s="5" t="s">
        <v>3973</v>
      </c>
      <c r="C202" s="5" t="s">
        <v>21</v>
      </c>
      <c r="D202" s="5" t="s">
        <v>21</v>
      </c>
      <c r="E202" s="5" t="s">
        <v>21</v>
      </c>
      <c r="F202" s="5" t="s">
        <v>3974</v>
      </c>
      <c r="G202" s="5" t="s">
        <v>21</v>
      </c>
      <c r="H202" s="5" t="s">
        <v>21</v>
      </c>
      <c r="I202" s="5" t="s">
        <v>3975</v>
      </c>
      <c r="J202" s="12" t="s">
        <v>3976</v>
      </c>
      <c r="K202" s="5" t="s">
        <v>21</v>
      </c>
      <c r="L202" s="5" t="s">
        <v>21</v>
      </c>
      <c r="M202" s="5" t="s">
        <v>25</v>
      </c>
      <c r="N202" s="5" t="s">
        <v>76</v>
      </c>
      <c r="O202" s="5" t="s">
        <v>21</v>
      </c>
      <c r="P202" s="5" t="s">
        <v>21</v>
      </c>
      <c r="Q202" s="5" t="s">
        <v>21</v>
      </c>
      <c r="R202" s="5" t="s">
        <v>21</v>
      </c>
      <c r="S202" s="5" t="s">
        <v>21</v>
      </c>
      <c r="T202" s="5" t="s">
        <v>3977</v>
      </c>
      <c r="U202" s="5" t="s">
        <v>3978</v>
      </c>
      <c r="V202" s="5" t="s">
        <v>3979</v>
      </c>
      <c r="W202" s="5" t="s">
        <v>3980</v>
      </c>
      <c r="X202" s="5" t="s">
        <v>3981</v>
      </c>
      <c r="Y202" s="5" t="s">
        <v>3982</v>
      </c>
      <c r="Z202" s="5" t="s">
        <v>3983</v>
      </c>
      <c r="AA202" s="5" t="s">
        <v>3984</v>
      </c>
      <c r="AB202" s="5" t="s">
        <v>3985</v>
      </c>
      <c r="AC202" s="5" t="s">
        <v>3986</v>
      </c>
      <c r="AD202" s="5" t="s">
        <v>3986</v>
      </c>
      <c r="AE202" s="5" t="s">
        <v>3987</v>
      </c>
      <c r="AF202" s="5">
        <v>69</v>
      </c>
      <c r="AG202" s="5">
        <v>10</v>
      </c>
      <c r="AH202" s="5">
        <v>10</v>
      </c>
      <c r="AI202" s="5">
        <v>3</v>
      </c>
      <c r="AJ202" s="5">
        <v>8</v>
      </c>
      <c r="AK202" s="5" t="s">
        <v>904</v>
      </c>
      <c r="AL202" s="5" t="s">
        <v>36</v>
      </c>
      <c r="AM202" s="5" t="s">
        <v>905</v>
      </c>
      <c r="AN202" s="5" t="s">
        <v>3988</v>
      </c>
      <c r="AO202" s="5" t="s">
        <v>3989</v>
      </c>
      <c r="AP202" s="5" t="s">
        <v>21</v>
      </c>
      <c r="AQ202" s="5" t="s">
        <v>3990</v>
      </c>
      <c r="AR202" s="5" t="s">
        <v>3991</v>
      </c>
      <c r="AS202" s="5" t="s">
        <v>89</v>
      </c>
      <c r="AT202" s="5">
        <v>2024</v>
      </c>
      <c r="AU202" s="5">
        <v>26</v>
      </c>
      <c r="AV202" s="5">
        <v>6</v>
      </c>
      <c r="AW202" s="5" t="s">
        <v>21</v>
      </c>
      <c r="AX202" s="5" t="s">
        <v>21</v>
      </c>
      <c r="AY202" s="5" t="s">
        <v>21</v>
      </c>
      <c r="AZ202" s="5" t="s">
        <v>21</v>
      </c>
      <c r="BA202" s="5">
        <v>294</v>
      </c>
      <c r="BB202" s="5">
        <v>303</v>
      </c>
      <c r="BC202" s="5" t="s">
        <v>21</v>
      </c>
      <c r="BD202" s="5" t="s">
        <v>3992</v>
      </c>
      <c r="BE202" s="5" t="str">
        <f>HYPERLINK("http://dx.doi.org/10.1007/s11920-024-01501-8","http://dx.doi.org/10.1007/s11920-024-01501-8")</f>
        <v>http://dx.doi.org/10.1007/s11920-024-01501-8</v>
      </c>
      <c r="BF202" s="5" t="s">
        <v>21</v>
      </c>
      <c r="BG202" s="5" t="s">
        <v>3993</v>
      </c>
      <c r="BH202" s="5">
        <v>10</v>
      </c>
      <c r="BI202" s="5" t="s">
        <v>161</v>
      </c>
      <c r="BJ202" s="5" t="s">
        <v>92</v>
      </c>
      <c r="BK202" s="5" t="s">
        <v>161</v>
      </c>
      <c r="BL202" s="5" t="s">
        <v>3994</v>
      </c>
      <c r="BM202" s="5">
        <v>38602624</v>
      </c>
      <c r="BN202" s="5" t="s">
        <v>1076</v>
      </c>
      <c r="BO202" s="5" t="s">
        <v>21</v>
      </c>
      <c r="BP202" s="5" t="s">
        <v>21</v>
      </c>
      <c r="BQ202" s="5" t="s">
        <v>49</v>
      </c>
      <c r="BR202" s="5" t="s">
        <v>3995</v>
      </c>
      <c r="BS202" s="5" t="str">
        <f>HYPERLINK("https%3A%2F%2Fwww.webofscience.com%2Fwos%2Fwoscc%2Ffull-record%2FWOS:001200373200001","View Full Record in Web of Science")</f>
        <v>View Full Record in Web of Science</v>
      </c>
    </row>
    <row r="203" spans="1:71" x14ac:dyDescent="0.25">
      <c r="A203" t="s">
        <v>19</v>
      </c>
      <c r="B203" s="5" t="s">
        <v>3996</v>
      </c>
      <c r="C203" s="5" t="s">
        <v>21</v>
      </c>
      <c r="D203" s="5" t="s">
        <v>21</v>
      </c>
      <c r="E203" s="5" t="s">
        <v>21</v>
      </c>
      <c r="F203" s="5" t="s">
        <v>3997</v>
      </c>
      <c r="G203" s="5" t="s">
        <v>21</v>
      </c>
      <c r="H203" s="5" t="s">
        <v>21</v>
      </c>
      <c r="I203" s="5" t="s">
        <v>3998</v>
      </c>
      <c r="J203" s="12" t="s">
        <v>142</v>
      </c>
      <c r="K203" s="5" t="s">
        <v>21</v>
      </c>
      <c r="L203" s="5" t="s">
        <v>21</v>
      </c>
      <c r="M203" s="5" t="s">
        <v>25</v>
      </c>
      <c r="N203" s="5" t="s">
        <v>26</v>
      </c>
      <c r="O203" s="5" t="s">
        <v>21</v>
      </c>
      <c r="P203" s="5" t="s">
        <v>21</v>
      </c>
      <c r="Q203" s="5" t="s">
        <v>21</v>
      </c>
      <c r="R203" s="5" t="s">
        <v>21</v>
      </c>
      <c r="S203" s="5" t="s">
        <v>21</v>
      </c>
      <c r="T203" s="5" t="s">
        <v>3999</v>
      </c>
      <c r="U203" s="5" t="s">
        <v>4000</v>
      </c>
      <c r="V203" s="5" t="s">
        <v>4001</v>
      </c>
      <c r="W203" s="5" t="s">
        <v>4002</v>
      </c>
      <c r="X203" s="5" t="s">
        <v>4003</v>
      </c>
      <c r="Y203" s="5" t="s">
        <v>4004</v>
      </c>
      <c r="Z203" s="5" t="s">
        <v>4005</v>
      </c>
      <c r="AA203" s="5" t="s">
        <v>21</v>
      </c>
      <c r="AB203" s="5" t="s">
        <v>4006</v>
      </c>
      <c r="AC203" s="5" t="s">
        <v>21</v>
      </c>
      <c r="AD203" s="5" t="s">
        <v>21</v>
      </c>
      <c r="AE203" s="5" t="s">
        <v>21</v>
      </c>
      <c r="AF203" s="5">
        <v>59</v>
      </c>
      <c r="AG203" s="5">
        <v>10</v>
      </c>
      <c r="AH203" s="5">
        <v>10</v>
      </c>
      <c r="AI203" s="5">
        <v>14</v>
      </c>
      <c r="AJ203" s="5">
        <v>82</v>
      </c>
      <c r="AK203" s="5" t="s">
        <v>153</v>
      </c>
      <c r="AL203" s="5" t="s">
        <v>154</v>
      </c>
      <c r="AM203" s="5" t="s">
        <v>155</v>
      </c>
      <c r="AN203" s="5" t="s">
        <v>156</v>
      </c>
      <c r="AO203" s="5" t="s">
        <v>21</v>
      </c>
      <c r="AP203" s="5" t="s">
        <v>21</v>
      </c>
      <c r="AQ203" s="5" t="s">
        <v>157</v>
      </c>
      <c r="AR203" s="5" t="s">
        <v>158</v>
      </c>
      <c r="AS203" s="5" t="s">
        <v>4007</v>
      </c>
      <c r="AT203" s="5">
        <v>2023</v>
      </c>
      <c r="AU203" s="5">
        <v>14</v>
      </c>
      <c r="AV203" s="5" t="s">
        <v>21</v>
      </c>
      <c r="AW203" s="5" t="s">
        <v>21</v>
      </c>
      <c r="AX203" s="5" t="s">
        <v>21</v>
      </c>
      <c r="AY203" s="5" t="s">
        <v>21</v>
      </c>
      <c r="AZ203" s="5" t="s">
        <v>21</v>
      </c>
      <c r="BA203" s="5" t="s">
        <v>21</v>
      </c>
      <c r="BB203" s="5" t="s">
        <v>21</v>
      </c>
      <c r="BC203" s="5">
        <v>1126404</v>
      </c>
      <c r="BD203" s="5" t="s">
        <v>4008</v>
      </c>
      <c r="BE203" s="5" t="str">
        <f>HYPERLINK("http://dx.doi.org/10.3389/fpsyt.2023.1126404","http://dx.doi.org/10.3389/fpsyt.2023.1126404")</f>
        <v>http://dx.doi.org/10.3389/fpsyt.2023.1126404</v>
      </c>
      <c r="BF203" s="5" t="s">
        <v>21</v>
      </c>
      <c r="BG203" s="5" t="s">
        <v>21</v>
      </c>
      <c r="BH203" s="5">
        <v>12</v>
      </c>
      <c r="BI203" s="5" t="s">
        <v>161</v>
      </c>
      <c r="BJ203" s="5" t="s">
        <v>92</v>
      </c>
      <c r="BK203" s="5" t="s">
        <v>161</v>
      </c>
      <c r="BL203" s="5" t="s">
        <v>4009</v>
      </c>
      <c r="BM203" s="5">
        <v>37255688</v>
      </c>
      <c r="BN203" s="5" t="s">
        <v>163</v>
      </c>
      <c r="BO203" s="5" t="s">
        <v>21</v>
      </c>
      <c r="BP203" s="5" t="s">
        <v>21</v>
      </c>
      <c r="BQ203" s="5" t="s">
        <v>49</v>
      </c>
      <c r="BR203" s="5" t="s">
        <v>4010</v>
      </c>
      <c r="BS203" s="5" t="str">
        <f>HYPERLINK("https%3A%2F%2Fwww.webofscience.com%2Fwos%2Fwoscc%2Ffull-record%2FWOS:000994885300001","View Full Record in Web of Science")</f>
        <v>View Full Record in Web of Science</v>
      </c>
    </row>
    <row r="204" spans="1:71" x14ac:dyDescent="0.25">
      <c r="A204" t="s">
        <v>19</v>
      </c>
      <c r="B204" s="5" t="s">
        <v>4011</v>
      </c>
      <c r="C204" s="5" t="s">
        <v>21</v>
      </c>
      <c r="D204" s="5" t="s">
        <v>21</v>
      </c>
      <c r="E204" s="5" t="s">
        <v>21</v>
      </c>
      <c r="F204" s="5" t="s">
        <v>4012</v>
      </c>
      <c r="G204" s="5" t="s">
        <v>21</v>
      </c>
      <c r="H204" s="5" t="s">
        <v>21</v>
      </c>
      <c r="I204" s="5" t="s">
        <v>4013</v>
      </c>
      <c r="J204" s="12" t="s">
        <v>1443</v>
      </c>
      <c r="K204" s="5" t="s">
        <v>21</v>
      </c>
      <c r="L204" s="5" t="s">
        <v>21</v>
      </c>
      <c r="M204" s="5" t="s">
        <v>25</v>
      </c>
      <c r="N204" s="5" t="s">
        <v>76</v>
      </c>
      <c r="O204" s="5" t="s">
        <v>21</v>
      </c>
      <c r="P204" s="5" t="s">
        <v>21</v>
      </c>
      <c r="Q204" s="5" t="s">
        <v>21</v>
      </c>
      <c r="R204" s="5" t="s">
        <v>21</v>
      </c>
      <c r="S204" s="5" t="s">
        <v>21</v>
      </c>
      <c r="T204" s="5" t="s">
        <v>4014</v>
      </c>
      <c r="U204" s="5" t="s">
        <v>4015</v>
      </c>
      <c r="V204" s="5" t="s">
        <v>4016</v>
      </c>
      <c r="W204" s="5" t="s">
        <v>4017</v>
      </c>
      <c r="X204" s="5" t="s">
        <v>4018</v>
      </c>
      <c r="Y204" s="5" t="s">
        <v>4019</v>
      </c>
      <c r="Z204" s="5" t="s">
        <v>4020</v>
      </c>
      <c r="AA204" s="5" t="s">
        <v>4021</v>
      </c>
      <c r="AB204" s="5" t="s">
        <v>4022</v>
      </c>
      <c r="AC204" s="5" t="s">
        <v>4023</v>
      </c>
      <c r="AD204" s="5" t="s">
        <v>4024</v>
      </c>
      <c r="AE204" s="5" t="s">
        <v>4025</v>
      </c>
      <c r="AF204" s="5">
        <v>50</v>
      </c>
      <c r="AG204" s="5">
        <v>10</v>
      </c>
      <c r="AH204" s="5">
        <v>11</v>
      </c>
      <c r="AI204" s="5">
        <v>44</v>
      </c>
      <c r="AJ204" s="5">
        <v>57</v>
      </c>
      <c r="AK204" s="5" t="s">
        <v>493</v>
      </c>
      <c r="AL204" s="5" t="s">
        <v>494</v>
      </c>
      <c r="AM204" s="5" t="s">
        <v>495</v>
      </c>
      <c r="AN204" s="5" t="s">
        <v>1453</v>
      </c>
      <c r="AO204" s="5" t="s">
        <v>1454</v>
      </c>
      <c r="AP204" s="5" t="s">
        <v>21</v>
      </c>
      <c r="AQ204" s="5" t="s">
        <v>1455</v>
      </c>
      <c r="AR204" s="5" t="s">
        <v>1456</v>
      </c>
      <c r="AS204" s="5" t="s">
        <v>4026</v>
      </c>
      <c r="AT204" s="5">
        <v>2024</v>
      </c>
      <c r="AU204" s="5">
        <v>32</v>
      </c>
      <c r="AV204" s="5">
        <v>5</v>
      </c>
      <c r="AW204" s="5" t="s">
        <v>21</v>
      </c>
      <c r="AX204" s="5" t="s">
        <v>21</v>
      </c>
      <c r="AY204" s="5" t="s">
        <v>21</v>
      </c>
      <c r="AZ204" s="5" t="s">
        <v>21</v>
      </c>
      <c r="BA204" s="5">
        <v>2321</v>
      </c>
      <c r="BB204" s="5">
        <v>2342</v>
      </c>
      <c r="BC204" s="5" t="s">
        <v>21</v>
      </c>
      <c r="BD204" s="5" t="s">
        <v>4027</v>
      </c>
      <c r="BE204" s="5" t="str">
        <f>HYPERLINK("http://dx.doi.org/10.1080/10494820.2022.2146139","http://dx.doi.org/10.1080/10494820.2022.2146139")</f>
        <v>http://dx.doi.org/10.1080/10494820.2022.2146139</v>
      </c>
      <c r="BF204" s="5" t="s">
        <v>21</v>
      </c>
      <c r="BG204" s="5" t="s">
        <v>1849</v>
      </c>
      <c r="BH204" s="5">
        <v>22</v>
      </c>
      <c r="BI204" s="5" t="s">
        <v>503</v>
      </c>
      <c r="BJ204" s="5" t="s">
        <v>45</v>
      </c>
      <c r="BK204" s="5" t="s">
        <v>503</v>
      </c>
      <c r="BL204" s="5" t="s">
        <v>4028</v>
      </c>
      <c r="BM204" s="5" t="s">
        <v>21</v>
      </c>
      <c r="BN204" s="5" t="s">
        <v>21</v>
      </c>
      <c r="BO204" s="5" t="s">
        <v>21</v>
      </c>
      <c r="BP204" s="5" t="s">
        <v>21</v>
      </c>
      <c r="BQ204" s="5" t="s">
        <v>49</v>
      </c>
      <c r="BR204" s="5" t="s">
        <v>4029</v>
      </c>
      <c r="BS204" s="5" t="str">
        <f>HYPERLINK("https%3A%2F%2Fwww.webofscience.com%2Fwos%2Fwoscc%2Ffull-record%2FWOS:001288460000024","View Full Record in Web of Science")</f>
        <v>View Full Record in Web of Science</v>
      </c>
    </row>
    <row r="205" spans="1:71" x14ac:dyDescent="0.25">
      <c r="A205" t="s">
        <v>19</v>
      </c>
      <c r="B205" s="5" t="s">
        <v>4030</v>
      </c>
      <c r="C205" s="5" t="s">
        <v>21</v>
      </c>
      <c r="D205" s="5" t="s">
        <v>21</v>
      </c>
      <c r="E205" s="5" t="s">
        <v>21</v>
      </c>
      <c r="F205" s="5" t="s">
        <v>4031</v>
      </c>
      <c r="G205" s="5" t="s">
        <v>21</v>
      </c>
      <c r="H205" s="5" t="s">
        <v>21</v>
      </c>
      <c r="I205" s="5" t="s">
        <v>4032</v>
      </c>
      <c r="J205" s="12" t="s">
        <v>4033</v>
      </c>
      <c r="K205" s="5" t="s">
        <v>21</v>
      </c>
      <c r="L205" s="5" t="s">
        <v>21</v>
      </c>
      <c r="M205" s="5" t="s">
        <v>25</v>
      </c>
      <c r="N205" s="5" t="s">
        <v>26</v>
      </c>
      <c r="O205" s="5" t="s">
        <v>21</v>
      </c>
      <c r="P205" s="5" t="s">
        <v>21</v>
      </c>
      <c r="Q205" s="5" t="s">
        <v>21</v>
      </c>
      <c r="R205" s="5" t="s">
        <v>21</v>
      </c>
      <c r="S205" s="5" t="s">
        <v>21</v>
      </c>
      <c r="T205" s="5" t="s">
        <v>4034</v>
      </c>
      <c r="U205" s="5" t="s">
        <v>4035</v>
      </c>
      <c r="V205" s="5" t="s">
        <v>4036</v>
      </c>
      <c r="W205" s="5" t="s">
        <v>4037</v>
      </c>
      <c r="X205" s="5" t="s">
        <v>4038</v>
      </c>
      <c r="Y205" s="5" t="s">
        <v>4039</v>
      </c>
      <c r="Z205" s="5" t="s">
        <v>4040</v>
      </c>
      <c r="AA205" s="5" t="s">
        <v>4041</v>
      </c>
      <c r="AB205" s="5" t="s">
        <v>4042</v>
      </c>
      <c r="AC205" s="5" t="s">
        <v>4043</v>
      </c>
      <c r="AD205" s="5" t="s">
        <v>4044</v>
      </c>
      <c r="AE205" s="5" t="s">
        <v>4045</v>
      </c>
      <c r="AF205" s="5">
        <v>38</v>
      </c>
      <c r="AG205" s="5">
        <v>10</v>
      </c>
      <c r="AH205" s="5">
        <v>10</v>
      </c>
      <c r="AI205" s="5">
        <v>1</v>
      </c>
      <c r="AJ205" s="5">
        <v>13</v>
      </c>
      <c r="AK205" s="5" t="s">
        <v>4046</v>
      </c>
      <c r="AL205" s="5" t="s">
        <v>4047</v>
      </c>
      <c r="AM205" s="5" t="s">
        <v>4048</v>
      </c>
      <c r="AN205" s="5" t="s">
        <v>4049</v>
      </c>
      <c r="AO205" s="5" t="s">
        <v>4050</v>
      </c>
      <c r="AP205" s="5" t="s">
        <v>21</v>
      </c>
      <c r="AQ205" s="5" t="s">
        <v>4051</v>
      </c>
      <c r="AR205" s="5" t="s">
        <v>4052</v>
      </c>
      <c r="AS205" s="5" t="s">
        <v>89</v>
      </c>
      <c r="AT205" s="5">
        <v>2022</v>
      </c>
      <c r="AU205" s="5">
        <v>22</v>
      </c>
      <c r="AV205" s="5" t="s">
        <v>4053</v>
      </c>
      <c r="AW205" s="5" t="s">
        <v>21</v>
      </c>
      <c r="AX205" s="5">
        <v>4</v>
      </c>
      <c r="AY205" s="5" t="s">
        <v>21</v>
      </c>
      <c r="AZ205" s="5" t="s">
        <v>21</v>
      </c>
      <c r="BA205" s="5" t="s">
        <v>21</v>
      </c>
      <c r="BB205" s="5" t="s">
        <v>21</v>
      </c>
      <c r="BC205" s="5">
        <v>2146013</v>
      </c>
      <c r="BD205" s="5" t="s">
        <v>4054</v>
      </c>
      <c r="BE205" s="5" t="str">
        <f>HYPERLINK("http://dx.doi.org/10.1142/S0219265921460130","http://dx.doi.org/10.1142/S0219265921460130")</f>
        <v>http://dx.doi.org/10.1142/S0219265921460130</v>
      </c>
      <c r="BF205" s="5" t="s">
        <v>21</v>
      </c>
      <c r="BG205" s="5" t="s">
        <v>4055</v>
      </c>
      <c r="BH205" s="5">
        <v>18</v>
      </c>
      <c r="BI205" s="5" t="s">
        <v>4056</v>
      </c>
      <c r="BJ205" s="5" t="s">
        <v>1907</v>
      </c>
      <c r="BK205" s="5" t="s">
        <v>715</v>
      </c>
      <c r="BL205" s="5" t="s">
        <v>4057</v>
      </c>
      <c r="BM205" s="5" t="s">
        <v>21</v>
      </c>
      <c r="BN205" s="5" t="s">
        <v>21</v>
      </c>
      <c r="BO205" s="5" t="s">
        <v>21</v>
      </c>
      <c r="BP205" s="5" t="s">
        <v>21</v>
      </c>
      <c r="BQ205" s="5" t="s">
        <v>49</v>
      </c>
      <c r="BR205" s="5" t="s">
        <v>4058</v>
      </c>
      <c r="BS205" s="5" t="str">
        <f>HYPERLINK("https%3A%2F%2Fwww.webofscience.com%2Fwos%2Fwoscc%2Ffull-record%2FWOS:000849405500001","View Full Record in Web of Science")</f>
        <v>View Full Record in Web of Science</v>
      </c>
    </row>
    <row r="206" spans="1:71" x14ac:dyDescent="0.25">
      <c r="A206" t="s">
        <v>19</v>
      </c>
      <c r="B206" s="5" t="s">
        <v>4059</v>
      </c>
      <c r="C206" s="5" t="s">
        <v>21</v>
      </c>
      <c r="D206" s="5" t="s">
        <v>21</v>
      </c>
      <c r="E206" s="5" t="s">
        <v>21</v>
      </c>
      <c r="F206" s="5" t="s">
        <v>4060</v>
      </c>
      <c r="G206" s="5" t="s">
        <v>21</v>
      </c>
      <c r="H206" s="5" t="s">
        <v>21</v>
      </c>
      <c r="I206" s="5" t="s">
        <v>4061</v>
      </c>
      <c r="J206" s="12" t="s">
        <v>4062</v>
      </c>
      <c r="K206" s="5" t="s">
        <v>21</v>
      </c>
      <c r="L206" s="5" t="s">
        <v>21</v>
      </c>
      <c r="M206" s="5" t="s">
        <v>25</v>
      </c>
      <c r="N206" s="5" t="s">
        <v>76</v>
      </c>
      <c r="O206" s="5" t="s">
        <v>21</v>
      </c>
      <c r="P206" s="5" t="s">
        <v>21</v>
      </c>
      <c r="Q206" s="5" t="s">
        <v>21</v>
      </c>
      <c r="R206" s="5" t="s">
        <v>21</v>
      </c>
      <c r="S206" s="5" t="s">
        <v>21</v>
      </c>
      <c r="T206" s="5" t="s">
        <v>4063</v>
      </c>
      <c r="U206" s="5" t="s">
        <v>4064</v>
      </c>
      <c r="V206" s="5" t="s">
        <v>4065</v>
      </c>
      <c r="W206" s="5" t="s">
        <v>4066</v>
      </c>
      <c r="X206" s="5" t="s">
        <v>4067</v>
      </c>
      <c r="Y206" s="5" t="s">
        <v>4068</v>
      </c>
      <c r="Z206" s="5" t="s">
        <v>21</v>
      </c>
      <c r="AA206" s="5" t="s">
        <v>4069</v>
      </c>
      <c r="AB206" s="5" t="s">
        <v>4070</v>
      </c>
      <c r="AC206" s="5" t="s">
        <v>21</v>
      </c>
      <c r="AD206" s="5" t="s">
        <v>21</v>
      </c>
      <c r="AE206" s="5" t="s">
        <v>21</v>
      </c>
      <c r="AF206" s="5">
        <v>34</v>
      </c>
      <c r="AG206" s="5">
        <v>10</v>
      </c>
      <c r="AH206" s="5">
        <v>11</v>
      </c>
      <c r="AI206" s="5">
        <v>8</v>
      </c>
      <c r="AJ206" s="5">
        <v>34</v>
      </c>
      <c r="AK206" s="5" t="s">
        <v>2436</v>
      </c>
      <c r="AL206" s="5" t="s">
        <v>2437</v>
      </c>
      <c r="AM206" s="5" t="s">
        <v>2438</v>
      </c>
      <c r="AN206" s="5" t="s">
        <v>21</v>
      </c>
      <c r="AO206" s="5" t="s">
        <v>4071</v>
      </c>
      <c r="AP206" s="5" t="s">
        <v>21</v>
      </c>
      <c r="AQ206" s="5" t="s">
        <v>4072</v>
      </c>
      <c r="AR206" s="5" t="s">
        <v>4073</v>
      </c>
      <c r="AS206" s="5" t="s">
        <v>21</v>
      </c>
      <c r="AT206" s="5">
        <v>2022</v>
      </c>
      <c r="AU206" s="5">
        <v>18</v>
      </c>
      <c r="AV206" s="5" t="s">
        <v>21</v>
      </c>
      <c r="AW206" s="5" t="s">
        <v>21</v>
      </c>
      <c r="AX206" s="5" t="s">
        <v>21</v>
      </c>
      <c r="AY206" s="5" t="s">
        <v>21</v>
      </c>
      <c r="AZ206" s="5" t="s">
        <v>21</v>
      </c>
      <c r="BA206" s="5">
        <v>2295</v>
      </c>
      <c r="BB206" s="5">
        <v>2310</v>
      </c>
      <c r="BC206" s="5" t="s">
        <v>21</v>
      </c>
      <c r="BD206" s="5" t="s">
        <v>4074</v>
      </c>
      <c r="BE206" s="5" t="str">
        <f>HYPERLINK("http://dx.doi.org/10.2147/NDT.S331990","http://dx.doi.org/10.2147/NDT.S331990")</f>
        <v>http://dx.doi.org/10.2147/NDT.S331990</v>
      </c>
      <c r="BF206" s="5" t="s">
        <v>21</v>
      </c>
      <c r="BG206" s="5" t="s">
        <v>21</v>
      </c>
      <c r="BH206" s="5">
        <v>16</v>
      </c>
      <c r="BI206" s="5" t="s">
        <v>4075</v>
      </c>
      <c r="BJ206" s="5" t="s">
        <v>524</v>
      </c>
      <c r="BK206" s="5" t="s">
        <v>1526</v>
      </c>
      <c r="BL206" s="5" t="s">
        <v>4076</v>
      </c>
      <c r="BM206" s="5">
        <v>36281222</v>
      </c>
      <c r="BN206" s="5" t="s">
        <v>864</v>
      </c>
      <c r="BO206" s="5" t="s">
        <v>21</v>
      </c>
      <c r="BP206" s="5" t="s">
        <v>21</v>
      </c>
      <c r="BQ206" s="5" t="s">
        <v>49</v>
      </c>
      <c r="BR206" s="5" t="s">
        <v>4077</v>
      </c>
      <c r="BS206" s="5" t="str">
        <f>HYPERLINK("https%3A%2F%2Fwww.webofscience.com%2Fwos%2Fwoscc%2Ffull-record%2FWOS:000874561500001","View Full Record in Web of Science")</f>
        <v>View Full Record in Web of Science</v>
      </c>
    </row>
    <row r="207" spans="1:71" x14ac:dyDescent="0.25">
      <c r="A207" t="s">
        <v>19</v>
      </c>
      <c r="B207" s="5" t="s">
        <v>3922</v>
      </c>
      <c r="C207" s="5" t="s">
        <v>21</v>
      </c>
      <c r="D207" s="5" t="s">
        <v>21</v>
      </c>
      <c r="E207" s="5" t="s">
        <v>21</v>
      </c>
      <c r="F207" s="5" t="s">
        <v>3923</v>
      </c>
      <c r="G207" s="5" t="s">
        <v>21</v>
      </c>
      <c r="H207" s="5" t="s">
        <v>21</v>
      </c>
      <c r="I207" s="5" t="s">
        <v>4078</v>
      </c>
      <c r="J207" s="12" t="s">
        <v>4079</v>
      </c>
      <c r="K207" s="5" t="s">
        <v>21</v>
      </c>
      <c r="L207" s="5" t="s">
        <v>21</v>
      </c>
      <c r="M207" s="5" t="s">
        <v>25</v>
      </c>
      <c r="N207" s="5" t="s">
        <v>26</v>
      </c>
      <c r="O207" s="5" t="s">
        <v>21</v>
      </c>
      <c r="P207" s="5" t="s">
        <v>21</v>
      </c>
      <c r="Q207" s="5" t="s">
        <v>21</v>
      </c>
      <c r="R207" s="5" t="s">
        <v>21</v>
      </c>
      <c r="S207" s="5" t="s">
        <v>21</v>
      </c>
      <c r="T207" s="5" t="s">
        <v>4080</v>
      </c>
      <c r="U207" s="5" t="s">
        <v>4081</v>
      </c>
      <c r="V207" s="5" t="s">
        <v>4082</v>
      </c>
      <c r="W207" s="5" t="s">
        <v>4083</v>
      </c>
      <c r="X207" s="5" t="s">
        <v>2925</v>
      </c>
      <c r="Y207" s="5" t="s">
        <v>4084</v>
      </c>
      <c r="Z207" s="5" t="s">
        <v>4085</v>
      </c>
      <c r="AA207" s="5" t="s">
        <v>3932</v>
      </c>
      <c r="AB207" s="5" t="s">
        <v>21</v>
      </c>
      <c r="AC207" s="5" t="s">
        <v>2646</v>
      </c>
      <c r="AD207" s="5" t="s">
        <v>2646</v>
      </c>
      <c r="AE207" s="5" t="s">
        <v>2647</v>
      </c>
      <c r="AF207" s="5">
        <v>38</v>
      </c>
      <c r="AG207" s="5">
        <v>10</v>
      </c>
      <c r="AH207" s="5">
        <v>10</v>
      </c>
      <c r="AI207" s="5">
        <v>3</v>
      </c>
      <c r="AJ207" s="5">
        <v>52</v>
      </c>
      <c r="AK207" s="5" t="s">
        <v>1623</v>
      </c>
      <c r="AL207" s="5" t="s">
        <v>1624</v>
      </c>
      <c r="AM207" s="5" t="s">
        <v>1625</v>
      </c>
      <c r="AN207" s="5" t="s">
        <v>4086</v>
      </c>
      <c r="AO207" s="5" t="s">
        <v>4087</v>
      </c>
      <c r="AP207" s="5" t="s">
        <v>21</v>
      </c>
      <c r="AQ207" s="5" t="s">
        <v>4088</v>
      </c>
      <c r="AR207" s="5" t="s">
        <v>4089</v>
      </c>
      <c r="AS207" s="5" t="s">
        <v>290</v>
      </c>
      <c r="AT207" s="5">
        <v>2020</v>
      </c>
      <c r="AU207" s="5">
        <v>11</v>
      </c>
      <c r="AV207" s="5">
        <v>7</v>
      </c>
      <c r="AW207" s="5" t="s">
        <v>21</v>
      </c>
      <c r="AX207" s="5" t="s">
        <v>21</v>
      </c>
      <c r="AY207" s="5" t="s">
        <v>21</v>
      </c>
      <c r="AZ207" s="5" t="s">
        <v>21</v>
      </c>
      <c r="BA207" s="5">
        <v>2701</v>
      </c>
      <c r="BB207" s="5">
        <v>2713</v>
      </c>
      <c r="BC207" s="5" t="s">
        <v>21</v>
      </c>
      <c r="BD207" s="5" t="s">
        <v>4090</v>
      </c>
      <c r="BE207" s="5" t="str">
        <f>HYPERLINK("http://dx.doi.org/10.1007/s12652-019-01329-8","http://dx.doi.org/10.1007/s12652-019-01329-8")</f>
        <v>http://dx.doi.org/10.1007/s12652-019-01329-8</v>
      </c>
      <c r="BF207" s="5" t="s">
        <v>21</v>
      </c>
      <c r="BG207" s="5" t="s">
        <v>21</v>
      </c>
      <c r="BH207" s="5">
        <v>13</v>
      </c>
      <c r="BI207" s="5" t="s">
        <v>4091</v>
      </c>
      <c r="BJ207" s="5" t="s">
        <v>92</v>
      </c>
      <c r="BK207" s="5" t="s">
        <v>4092</v>
      </c>
      <c r="BL207" s="5" t="s">
        <v>4093</v>
      </c>
      <c r="BM207" s="5" t="s">
        <v>21</v>
      </c>
      <c r="BN207" s="5" t="s">
        <v>21</v>
      </c>
      <c r="BO207" s="5" t="s">
        <v>21</v>
      </c>
      <c r="BP207" s="5" t="s">
        <v>21</v>
      </c>
      <c r="BQ207" s="5" t="s">
        <v>49</v>
      </c>
      <c r="BR207" s="5" t="s">
        <v>4094</v>
      </c>
      <c r="BS207" s="5" t="str">
        <f>HYPERLINK("https%3A%2F%2Fwww.webofscience.com%2Fwos%2Fwoscc%2Ffull-record%2FWOS:000541343400005","View Full Record in Web of Science")</f>
        <v>View Full Record in Web of Science</v>
      </c>
    </row>
    <row r="208" spans="1:71" x14ac:dyDescent="0.25">
      <c r="A208" t="s">
        <v>19</v>
      </c>
      <c r="B208" s="5" t="s">
        <v>4095</v>
      </c>
      <c r="C208" s="5" t="s">
        <v>21</v>
      </c>
      <c r="D208" s="5" t="s">
        <v>21</v>
      </c>
      <c r="E208" s="5" t="s">
        <v>21</v>
      </c>
      <c r="F208" s="5" t="s">
        <v>4096</v>
      </c>
      <c r="G208" s="5" t="s">
        <v>21</v>
      </c>
      <c r="H208" s="5" t="s">
        <v>21</v>
      </c>
      <c r="I208" s="5" t="s">
        <v>4097</v>
      </c>
      <c r="J208" s="12" t="s">
        <v>2329</v>
      </c>
      <c r="K208" s="5" t="s">
        <v>21</v>
      </c>
      <c r="L208" s="5" t="s">
        <v>21</v>
      </c>
      <c r="M208" s="5" t="s">
        <v>25</v>
      </c>
      <c r="N208" s="5" t="s">
        <v>26</v>
      </c>
      <c r="O208" s="5" t="s">
        <v>21</v>
      </c>
      <c r="P208" s="5" t="s">
        <v>21</v>
      </c>
      <c r="Q208" s="5" t="s">
        <v>21</v>
      </c>
      <c r="R208" s="5" t="s">
        <v>21</v>
      </c>
      <c r="S208" s="5" t="s">
        <v>21</v>
      </c>
      <c r="T208" s="5" t="s">
        <v>4098</v>
      </c>
      <c r="U208" s="5" t="s">
        <v>4099</v>
      </c>
      <c r="V208" s="5" t="s">
        <v>4100</v>
      </c>
      <c r="W208" s="5" t="s">
        <v>4101</v>
      </c>
      <c r="X208" s="5" t="s">
        <v>4102</v>
      </c>
      <c r="Y208" s="5" t="s">
        <v>4103</v>
      </c>
      <c r="Z208" s="5" t="s">
        <v>4104</v>
      </c>
      <c r="AA208" s="5" t="s">
        <v>4105</v>
      </c>
      <c r="AB208" s="5" t="s">
        <v>4106</v>
      </c>
      <c r="AC208" s="5" t="s">
        <v>4107</v>
      </c>
      <c r="AD208" s="5" t="s">
        <v>4108</v>
      </c>
      <c r="AE208" s="5" t="s">
        <v>4109</v>
      </c>
      <c r="AF208" s="5">
        <v>51</v>
      </c>
      <c r="AG208" s="5">
        <v>10</v>
      </c>
      <c r="AH208" s="5">
        <v>11</v>
      </c>
      <c r="AI208" s="5">
        <v>2</v>
      </c>
      <c r="AJ208" s="5">
        <v>14</v>
      </c>
      <c r="AK208" s="5" t="s">
        <v>153</v>
      </c>
      <c r="AL208" s="5" t="s">
        <v>154</v>
      </c>
      <c r="AM208" s="5" t="s">
        <v>155</v>
      </c>
      <c r="AN208" s="5" t="s">
        <v>2342</v>
      </c>
      <c r="AO208" s="5" t="s">
        <v>21</v>
      </c>
      <c r="AP208" s="5" t="s">
        <v>21</v>
      </c>
      <c r="AQ208" s="5" t="s">
        <v>2343</v>
      </c>
      <c r="AR208" s="5" t="s">
        <v>2344</v>
      </c>
      <c r="AS208" s="5" t="s">
        <v>4110</v>
      </c>
      <c r="AT208" s="5">
        <v>2019</v>
      </c>
      <c r="AU208" s="5">
        <v>9</v>
      </c>
      <c r="AV208" s="5" t="s">
        <v>21</v>
      </c>
      <c r="AW208" s="5" t="s">
        <v>21</v>
      </c>
      <c r="AX208" s="5" t="s">
        <v>21</v>
      </c>
      <c r="AY208" s="5" t="s">
        <v>21</v>
      </c>
      <c r="AZ208" s="5" t="s">
        <v>21</v>
      </c>
      <c r="BA208" s="5" t="s">
        <v>21</v>
      </c>
      <c r="BB208" s="5" t="s">
        <v>21</v>
      </c>
      <c r="BC208" s="5">
        <v>2760</v>
      </c>
      <c r="BD208" s="5" t="s">
        <v>4111</v>
      </c>
      <c r="BE208" s="5" t="str">
        <f>HYPERLINK("http://dx.doi.org/10.3389/fpsyg.2018.02760","http://dx.doi.org/10.3389/fpsyg.2018.02760")</f>
        <v>http://dx.doi.org/10.3389/fpsyg.2018.02760</v>
      </c>
      <c r="BF208" s="5" t="s">
        <v>21</v>
      </c>
      <c r="BG208" s="5" t="s">
        <v>21</v>
      </c>
      <c r="BH208" s="5">
        <v>7</v>
      </c>
      <c r="BI208" s="5" t="s">
        <v>825</v>
      </c>
      <c r="BJ208" s="5" t="s">
        <v>45</v>
      </c>
      <c r="BK208" s="5" t="s">
        <v>46</v>
      </c>
      <c r="BL208" s="5" t="s">
        <v>4112</v>
      </c>
      <c r="BM208" s="5">
        <v>30687197</v>
      </c>
      <c r="BN208" s="5" t="s">
        <v>4113</v>
      </c>
      <c r="BO208" s="5" t="s">
        <v>21</v>
      </c>
      <c r="BP208" s="5" t="s">
        <v>21</v>
      </c>
      <c r="BQ208" s="5" t="s">
        <v>49</v>
      </c>
      <c r="BR208" s="5" t="s">
        <v>4114</v>
      </c>
      <c r="BS208" s="5" t="str">
        <f>HYPERLINK("https%3A%2F%2Fwww.webofscience.com%2Fwos%2Fwoscc%2Ffull-record%2FWOS:000455554300001","View Full Record in Web of Science")</f>
        <v>View Full Record in Web of Science</v>
      </c>
    </row>
    <row r="209" spans="1:71" x14ac:dyDescent="0.25">
      <c r="A209" t="s">
        <v>19</v>
      </c>
      <c r="B209" s="5" t="s">
        <v>4115</v>
      </c>
      <c r="C209" s="5" t="s">
        <v>21</v>
      </c>
      <c r="D209" s="5" t="s">
        <v>21</v>
      </c>
      <c r="E209" s="5" t="s">
        <v>21</v>
      </c>
      <c r="F209" s="5" t="s">
        <v>4116</v>
      </c>
      <c r="G209" s="5" t="s">
        <v>21</v>
      </c>
      <c r="H209" s="5" t="s">
        <v>21</v>
      </c>
      <c r="I209" s="5" t="s">
        <v>4117</v>
      </c>
      <c r="J209" s="12" t="s">
        <v>4118</v>
      </c>
      <c r="K209" s="5" t="s">
        <v>21</v>
      </c>
      <c r="L209" s="5" t="s">
        <v>21</v>
      </c>
      <c r="M209" s="5" t="s">
        <v>3664</v>
      </c>
      <c r="N209" s="5" t="s">
        <v>76</v>
      </c>
      <c r="O209" s="5" t="s">
        <v>21</v>
      </c>
      <c r="P209" s="5" t="s">
        <v>21</v>
      </c>
      <c r="Q209" s="5" t="s">
        <v>21</v>
      </c>
      <c r="R209" s="5" t="s">
        <v>21</v>
      </c>
      <c r="S209" s="5" t="s">
        <v>21</v>
      </c>
      <c r="T209" s="5" t="s">
        <v>4119</v>
      </c>
      <c r="U209" s="5" t="s">
        <v>4120</v>
      </c>
      <c r="V209" s="5" t="s">
        <v>4121</v>
      </c>
      <c r="W209" s="5" t="s">
        <v>4122</v>
      </c>
      <c r="X209" s="5" t="s">
        <v>1284</v>
      </c>
      <c r="Y209" s="5" t="s">
        <v>4123</v>
      </c>
      <c r="Z209" s="5" t="s">
        <v>1711</v>
      </c>
      <c r="AA209" s="5" t="s">
        <v>4124</v>
      </c>
      <c r="AB209" s="5" t="s">
        <v>4125</v>
      </c>
      <c r="AC209" s="5" t="s">
        <v>21</v>
      </c>
      <c r="AD209" s="5" t="s">
        <v>21</v>
      </c>
      <c r="AE209" s="5" t="s">
        <v>21</v>
      </c>
      <c r="AF209" s="5">
        <v>20</v>
      </c>
      <c r="AG209" s="5">
        <v>10</v>
      </c>
      <c r="AH209" s="5">
        <v>12</v>
      </c>
      <c r="AI209" s="5">
        <v>0</v>
      </c>
      <c r="AJ209" s="5">
        <v>28</v>
      </c>
      <c r="AK209" s="5" t="s">
        <v>4126</v>
      </c>
      <c r="AL209" s="5" t="s">
        <v>4127</v>
      </c>
      <c r="AM209" s="5" t="s">
        <v>4128</v>
      </c>
      <c r="AN209" s="5" t="s">
        <v>4129</v>
      </c>
      <c r="AO209" s="5" t="s">
        <v>4130</v>
      </c>
      <c r="AP209" s="5" t="s">
        <v>21</v>
      </c>
      <c r="AQ209" s="5" t="s">
        <v>4131</v>
      </c>
      <c r="AR209" s="5" t="s">
        <v>4132</v>
      </c>
      <c r="AS209" s="5" t="s">
        <v>21</v>
      </c>
      <c r="AT209" s="5">
        <v>2019</v>
      </c>
      <c r="AU209" s="5">
        <v>79</v>
      </c>
      <c r="AV209" s="5" t="s">
        <v>21</v>
      </c>
      <c r="AW209" s="5" t="s">
        <v>21</v>
      </c>
      <c r="AX209" s="5">
        <v>1</v>
      </c>
      <c r="AY209" s="5" t="s">
        <v>21</v>
      </c>
      <c r="AZ209" s="5" t="s">
        <v>21</v>
      </c>
      <c r="BA209" s="5">
        <v>77</v>
      </c>
      <c r="BB209" s="5">
        <v>81</v>
      </c>
      <c r="BC209" s="5" t="s">
        <v>21</v>
      </c>
      <c r="BD209" s="5" t="s">
        <v>21</v>
      </c>
      <c r="BE209" s="5" t="s">
        <v>21</v>
      </c>
      <c r="BF209" s="5" t="s">
        <v>21</v>
      </c>
      <c r="BG209" s="5" t="s">
        <v>21</v>
      </c>
      <c r="BH209" s="5">
        <v>5</v>
      </c>
      <c r="BI209" s="5" t="s">
        <v>1603</v>
      </c>
      <c r="BJ209" s="5" t="s">
        <v>92</v>
      </c>
      <c r="BK209" s="5" t="s">
        <v>1604</v>
      </c>
      <c r="BL209" s="5" t="s">
        <v>4133</v>
      </c>
      <c r="BM209" s="5">
        <v>30776285</v>
      </c>
      <c r="BN209" s="5" t="s">
        <v>21</v>
      </c>
      <c r="BO209" s="5" t="s">
        <v>21</v>
      </c>
      <c r="BP209" s="5" t="s">
        <v>21</v>
      </c>
      <c r="BQ209" s="5" t="s">
        <v>49</v>
      </c>
      <c r="BR209" s="5" t="s">
        <v>4134</v>
      </c>
      <c r="BS209" s="5" t="str">
        <f>HYPERLINK("https%3A%2F%2Fwww.webofscience.com%2Fwos%2Fwoscc%2Ffull-record%2FWOS:000466857200016","View Full Record in Web of Science")</f>
        <v>View Full Record in Web of Science</v>
      </c>
    </row>
    <row r="210" spans="1:71" x14ac:dyDescent="0.25">
      <c r="A210" t="s">
        <v>19</v>
      </c>
      <c r="B210" s="5" t="s">
        <v>4135</v>
      </c>
      <c r="C210" s="5" t="s">
        <v>21</v>
      </c>
      <c r="D210" s="5" t="s">
        <v>21</v>
      </c>
      <c r="E210" s="5" t="s">
        <v>21</v>
      </c>
      <c r="F210" s="5" t="s">
        <v>4136</v>
      </c>
      <c r="G210" s="5" t="s">
        <v>21</v>
      </c>
      <c r="H210" s="5" t="s">
        <v>21</v>
      </c>
      <c r="I210" s="5" t="s">
        <v>4137</v>
      </c>
      <c r="J210" s="12" t="s">
        <v>3508</v>
      </c>
      <c r="K210" s="5" t="s">
        <v>21</v>
      </c>
      <c r="L210" s="5" t="s">
        <v>21</v>
      </c>
      <c r="M210" s="5" t="s">
        <v>25</v>
      </c>
      <c r="N210" s="5" t="s">
        <v>76</v>
      </c>
      <c r="O210" s="5" t="s">
        <v>21</v>
      </c>
      <c r="P210" s="5" t="s">
        <v>21</v>
      </c>
      <c r="Q210" s="5" t="s">
        <v>21</v>
      </c>
      <c r="R210" s="5" t="s">
        <v>21</v>
      </c>
      <c r="S210" s="5" t="s">
        <v>21</v>
      </c>
      <c r="T210" s="5" t="s">
        <v>4138</v>
      </c>
      <c r="U210" s="5" t="s">
        <v>4139</v>
      </c>
      <c r="V210" s="5" t="s">
        <v>4140</v>
      </c>
      <c r="W210" s="5" t="s">
        <v>4141</v>
      </c>
      <c r="X210" s="5" t="s">
        <v>4142</v>
      </c>
      <c r="Y210" s="5" t="s">
        <v>4143</v>
      </c>
      <c r="Z210" s="5" t="s">
        <v>4144</v>
      </c>
      <c r="AA210" s="5" t="s">
        <v>4145</v>
      </c>
      <c r="AB210" s="5" t="s">
        <v>4146</v>
      </c>
      <c r="AC210" s="5" t="s">
        <v>21</v>
      </c>
      <c r="AD210" s="5" t="s">
        <v>21</v>
      </c>
      <c r="AE210" s="5" t="s">
        <v>21</v>
      </c>
      <c r="AF210" s="5">
        <v>72</v>
      </c>
      <c r="AG210" s="5">
        <v>9</v>
      </c>
      <c r="AH210" s="5">
        <v>11</v>
      </c>
      <c r="AI210" s="5">
        <v>24</v>
      </c>
      <c r="AJ210" s="5">
        <v>61</v>
      </c>
      <c r="AK210" s="5" t="s">
        <v>193</v>
      </c>
      <c r="AL210" s="5" t="s">
        <v>194</v>
      </c>
      <c r="AM210" s="5" t="s">
        <v>195</v>
      </c>
      <c r="AN210" s="5" t="s">
        <v>21</v>
      </c>
      <c r="AO210" s="5" t="s">
        <v>3520</v>
      </c>
      <c r="AP210" s="5" t="s">
        <v>21</v>
      </c>
      <c r="AQ210" s="5" t="s">
        <v>3521</v>
      </c>
      <c r="AR210" s="5" t="s">
        <v>3522</v>
      </c>
      <c r="AS210" s="5" t="s">
        <v>3820</v>
      </c>
      <c r="AT210" s="5">
        <v>2023</v>
      </c>
      <c r="AU210" s="5">
        <v>12</v>
      </c>
      <c r="AV210" s="5">
        <v>11</v>
      </c>
      <c r="AW210" s="5" t="s">
        <v>21</v>
      </c>
      <c r="AX210" s="5" t="s">
        <v>21</v>
      </c>
      <c r="AY210" s="5" t="s">
        <v>21</v>
      </c>
      <c r="AZ210" s="5" t="s">
        <v>21</v>
      </c>
      <c r="BA210" s="5" t="s">
        <v>21</v>
      </c>
      <c r="BB210" s="5" t="s">
        <v>21</v>
      </c>
      <c r="BC210" s="5">
        <v>2497</v>
      </c>
      <c r="BD210" s="5" t="s">
        <v>4147</v>
      </c>
      <c r="BE210" s="5" t="str">
        <f>HYPERLINK("http://dx.doi.org/10.3390/electronics12112497","http://dx.doi.org/10.3390/electronics12112497")</f>
        <v>http://dx.doi.org/10.3390/electronics12112497</v>
      </c>
      <c r="BF210" s="5" t="s">
        <v>21</v>
      </c>
      <c r="BG210" s="5" t="s">
        <v>21</v>
      </c>
      <c r="BH210" s="5">
        <v>19</v>
      </c>
      <c r="BI210" s="5" t="s">
        <v>3524</v>
      </c>
      <c r="BJ210" s="5" t="s">
        <v>524</v>
      </c>
      <c r="BK210" s="5" t="s">
        <v>3525</v>
      </c>
      <c r="BL210" s="5" t="s">
        <v>4148</v>
      </c>
      <c r="BM210" s="5" t="s">
        <v>21</v>
      </c>
      <c r="BN210" s="5" t="s">
        <v>163</v>
      </c>
      <c r="BO210" s="5" t="s">
        <v>21</v>
      </c>
      <c r="BP210" s="5" t="s">
        <v>21</v>
      </c>
      <c r="BQ210" s="5" t="s">
        <v>49</v>
      </c>
      <c r="BR210" s="5" t="s">
        <v>4149</v>
      </c>
      <c r="BS210" s="5" t="str">
        <f>HYPERLINK("https%3A%2F%2Fwww.webofscience.com%2Fwos%2Fwoscc%2Ffull-record%2FWOS:001004725200001","View Full Record in Web of Science")</f>
        <v>View Full Record in Web of Science</v>
      </c>
    </row>
    <row r="211" spans="1:71" x14ac:dyDescent="0.25">
      <c r="A211" t="s">
        <v>19</v>
      </c>
      <c r="B211" s="5" t="s">
        <v>4150</v>
      </c>
      <c r="C211" s="5" t="s">
        <v>21</v>
      </c>
      <c r="D211" s="5" t="s">
        <v>21</v>
      </c>
      <c r="E211" s="5" t="s">
        <v>21</v>
      </c>
      <c r="F211" s="5" t="s">
        <v>4151</v>
      </c>
      <c r="G211" s="5" t="s">
        <v>21</v>
      </c>
      <c r="H211" s="5" t="s">
        <v>21</v>
      </c>
      <c r="I211" s="5" t="s">
        <v>4152</v>
      </c>
      <c r="J211" s="12" t="s">
        <v>142</v>
      </c>
      <c r="K211" s="5" t="s">
        <v>21</v>
      </c>
      <c r="L211" s="5" t="s">
        <v>21</v>
      </c>
      <c r="M211" s="5" t="s">
        <v>25</v>
      </c>
      <c r="N211" s="5" t="s">
        <v>76</v>
      </c>
      <c r="O211" s="5" t="s">
        <v>21</v>
      </c>
      <c r="P211" s="5" t="s">
        <v>21</v>
      </c>
      <c r="Q211" s="5" t="s">
        <v>21</v>
      </c>
      <c r="R211" s="5" t="s">
        <v>21</v>
      </c>
      <c r="S211" s="5" t="s">
        <v>21</v>
      </c>
      <c r="T211" s="5" t="s">
        <v>4153</v>
      </c>
      <c r="U211" s="5" t="s">
        <v>4154</v>
      </c>
      <c r="V211" s="5" t="s">
        <v>4155</v>
      </c>
      <c r="W211" s="5" t="s">
        <v>4156</v>
      </c>
      <c r="X211" s="5" t="s">
        <v>4157</v>
      </c>
      <c r="Y211" s="5" t="s">
        <v>4158</v>
      </c>
      <c r="Z211" s="5" t="s">
        <v>4159</v>
      </c>
      <c r="AA211" s="5" t="s">
        <v>4160</v>
      </c>
      <c r="AB211" s="5" t="s">
        <v>4161</v>
      </c>
      <c r="AC211" s="5" t="s">
        <v>4162</v>
      </c>
      <c r="AD211" s="5" t="s">
        <v>4163</v>
      </c>
      <c r="AE211" s="5" t="s">
        <v>4164</v>
      </c>
      <c r="AF211" s="5">
        <v>74</v>
      </c>
      <c r="AG211" s="5">
        <v>9</v>
      </c>
      <c r="AH211" s="5">
        <v>10</v>
      </c>
      <c r="AI211" s="5">
        <v>9</v>
      </c>
      <c r="AJ211" s="5">
        <v>56</v>
      </c>
      <c r="AK211" s="5" t="s">
        <v>153</v>
      </c>
      <c r="AL211" s="5" t="s">
        <v>154</v>
      </c>
      <c r="AM211" s="5" t="s">
        <v>155</v>
      </c>
      <c r="AN211" s="5" t="s">
        <v>156</v>
      </c>
      <c r="AO211" s="5" t="s">
        <v>21</v>
      </c>
      <c r="AP211" s="5" t="s">
        <v>21</v>
      </c>
      <c r="AQ211" s="5" t="s">
        <v>157</v>
      </c>
      <c r="AR211" s="5" t="s">
        <v>158</v>
      </c>
      <c r="AS211" s="5" t="s">
        <v>4165</v>
      </c>
      <c r="AT211" s="5">
        <v>2022</v>
      </c>
      <c r="AU211" s="5">
        <v>13</v>
      </c>
      <c r="AV211" s="5" t="s">
        <v>21</v>
      </c>
      <c r="AW211" s="5" t="s">
        <v>21</v>
      </c>
      <c r="AX211" s="5" t="s">
        <v>21</v>
      </c>
      <c r="AY211" s="5" t="s">
        <v>21</v>
      </c>
      <c r="AZ211" s="5" t="s">
        <v>21</v>
      </c>
      <c r="BA211" s="5" t="s">
        <v>21</v>
      </c>
      <c r="BB211" s="5" t="s">
        <v>21</v>
      </c>
      <c r="BC211" s="5">
        <v>1055204</v>
      </c>
      <c r="BD211" s="5" t="s">
        <v>4166</v>
      </c>
      <c r="BE211" s="5" t="str">
        <f>HYPERLINK("http://dx.doi.org/10.3389/fpsyt.2022.1055204","http://dx.doi.org/10.3389/fpsyt.2022.1055204")</f>
        <v>http://dx.doi.org/10.3389/fpsyt.2022.1055204</v>
      </c>
      <c r="BF211" s="5" t="s">
        <v>21</v>
      </c>
      <c r="BG211" s="5" t="s">
        <v>21</v>
      </c>
      <c r="BH211" s="5">
        <v>27</v>
      </c>
      <c r="BI211" s="5" t="s">
        <v>161</v>
      </c>
      <c r="BJ211" s="5" t="s">
        <v>92</v>
      </c>
      <c r="BK211" s="5" t="s">
        <v>161</v>
      </c>
      <c r="BL211" s="5" t="s">
        <v>4167</v>
      </c>
      <c r="BM211" s="5">
        <v>36590624</v>
      </c>
      <c r="BN211" s="5" t="s">
        <v>864</v>
      </c>
      <c r="BO211" s="5" t="s">
        <v>21</v>
      </c>
      <c r="BP211" s="5" t="s">
        <v>21</v>
      </c>
      <c r="BQ211" s="5" t="s">
        <v>49</v>
      </c>
      <c r="BR211" s="5" t="s">
        <v>4168</v>
      </c>
      <c r="BS211" s="5" t="str">
        <f>HYPERLINK("https%3A%2F%2Fwww.webofscience.com%2Fwos%2Fwoscc%2Ffull-record%2FWOS:000905076200001","View Full Record in Web of Science")</f>
        <v>View Full Record in Web of Science</v>
      </c>
    </row>
    <row r="212" spans="1:71" x14ac:dyDescent="0.25">
      <c r="A212" t="s">
        <v>19</v>
      </c>
      <c r="B212" s="5" t="s">
        <v>4169</v>
      </c>
      <c r="C212" s="5" t="s">
        <v>21</v>
      </c>
      <c r="D212" s="5" t="s">
        <v>21</v>
      </c>
      <c r="E212" s="5" t="s">
        <v>21</v>
      </c>
      <c r="F212" s="5" t="s">
        <v>4170</v>
      </c>
      <c r="G212" s="5" t="s">
        <v>21</v>
      </c>
      <c r="H212" s="5" t="s">
        <v>21</v>
      </c>
      <c r="I212" s="5" t="s">
        <v>4171</v>
      </c>
      <c r="J212" s="12" t="s">
        <v>4172</v>
      </c>
      <c r="K212" s="5" t="s">
        <v>21</v>
      </c>
      <c r="L212" s="5" t="s">
        <v>21</v>
      </c>
      <c r="M212" s="5" t="s">
        <v>25</v>
      </c>
      <c r="N212" s="5" t="s">
        <v>26</v>
      </c>
      <c r="O212" s="5" t="s">
        <v>21</v>
      </c>
      <c r="P212" s="5" t="s">
        <v>21</v>
      </c>
      <c r="Q212" s="5" t="s">
        <v>21</v>
      </c>
      <c r="R212" s="5" t="s">
        <v>21</v>
      </c>
      <c r="S212" s="5" t="s">
        <v>21</v>
      </c>
      <c r="T212" s="5" t="s">
        <v>4173</v>
      </c>
      <c r="U212" s="5" t="s">
        <v>4174</v>
      </c>
      <c r="V212" s="5" t="s">
        <v>4175</v>
      </c>
      <c r="W212" s="5" t="s">
        <v>4176</v>
      </c>
      <c r="X212" s="5" t="s">
        <v>2925</v>
      </c>
      <c r="Y212" s="5" t="s">
        <v>3147</v>
      </c>
      <c r="Z212" s="5" t="s">
        <v>4177</v>
      </c>
      <c r="AA212" s="5" t="s">
        <v>2928</v>
      </c>
      <c r="AB212" s="5" t="s">
        <v>3149</v>
      </c>
      <c r="AC212" s="5" t="s">
        <v>3150</v>
      </c>
      <c r="AD212" s="5" t="s">
        <v>3150</v>
      </c>
      <c r="AE212" s="5" t="s">
        <v>4178</v>
      </c>
      <c r="AF212" s="5">
        <v>57</v>
      </c>
      <c r="AG212" s="5">
        <v>9</v>
      </c>
      <c r="AH212" s="5">
        <v>9</v>
      </c>
      <c r="AI212" s="5">
        <v>2</v>
      </c>
      <c r="AJ212" s="5">
        <v>29</v>
      </c>
      <c r="AK212" s="5" t="s">
        <v>659</v>
      </c>
      <c r="AL212" s="5" t="s">
        <v>660</v>
      </c>
      <c r="AM212" s="5" t="s">
        <v>661</v>
      </c>
      <c r="AN212" s="5" t="s">
        <v>4179</v>
      </c>
      <c r="AO212" s="5" t="s">
        <v>4180</v>
      </c>
      <c r="AP212" s="5" t="s">
        <v>21</v>
      </c>
      <c r="AQ212" s="5" t="s">
        <v>4181</v>
      </c>
      <c r="AR212" s="5" t="s">
        <v>4182</v>
      </c>
      <c r="AS212" s="5" t="s">
        <v>116</v>
      </c>
      <c r="AT212" s="5">
        <v>2021</v>
      </c>
      <c r="AU212" s="5">
        <v>13</v>
      </c>
      <c r="AV212" s="5">
        <v>3</v>
      </c>
      <c r="AW212" s="5" t="s">
        <v>21</v>
      </c>
      <c r="AX212" s="5" t="s">
        <v>21</v>
      </c>
      <c r="AY212" s="5" t="s">
        <v>21</v>
      </c>
      <c r="AZ212" s="5" t="s">
        <v>21</v>
      </c>
      <c r="BA212" s="5">
        <v>524</v>
      </c>
      <c r="BB212" s="5">
        <v>534</v>
      </c>
      <c r="BC212" s="5" t="s">
        <v>21</v>
      </c>
      <c r="BD212" s="5" t="s">
        <v>4183</v>
      </c>
      <c r="BE212" s="5" t="str">
        <f>HYPERLINK("http://dx.doi.org/10.1109/TCDS.2020.2983333","http://dx.doi.org/10.1109/TCDS.2020.2983333")</f>
        <v>http://dx.doi.org/10.1109/TCDS.2020.2983333</v>
      </c>
      <c r="BF212" s="5" t="s">
        <v>21</v>
      </c>
      <c r="BG212" s="5" t="s">
        <v>21</v>
      </c>
      <c r="BH212" s="5">
        <v>11</v>
      </c>
      <c r="BI212" s="5" t="s">
        <v>4184</v>
      </c>
      <c r="BJ212" s="5" t="s">
        <v>92</v>
      </c>
      <c r="BK212" s="5" t="s">
        <v>4185</v>
      </c>
      <c r="BL212" s="5" t="s">
        <v>4186</v>
      </c>
      <c r="BM212" s="5" t="s">
        <v>21</v>
      </c>
      <c r="BN212" s="5" t="s">
        <v>21</v>
      </c>
      <c r="BO212" s="5" t="s">
        <v>21</v>
      </c>
      <c r="BP212" s="5" t="s">
        <v>21</v>
      </c>
      <c r="BQ212" s="5" t="s">
        <v>49</v>
      </c>
      <c r="BR212" s="5" t="s">
        <v>4187</v>
      </c>
      <c r="BS212" s="5" t="str">
        <f>HYPERLINK("https%3A%2F%2Fwww.webofscience.com%2Fwos%2Fwoscc%2Ffull-record%2FWOS:000694697900012","View Full Record in Web of Science")</f>
        <v>View Full Record in Web of Science</v>
      </c>
    </row>
    <row r="213" spans="1:71" x14ac:dyDescent="0.25">
      <c r="A213" t="s">
        <v>19</v>
      </c>
      <c r="B213" s="5" t="s">
        <v>4188</v>
      </c>
      <c r="C213" s="5" t="s">
        <v>21</v>
      </c>
      <c r="D213" s="5" t="s">
        <v>21</v>
      </c>
      <c r="E213" s="5" t="s">
        <v>21</v>
      </c>
      <c r="F213" s="5" t="s">
        <v>4189</v>
      </c>
      <c r="G213" s="5" t="s">
        <v>21</v>
      </c>
      <c r="H213" s="5" t="s">
        <v>21</v>
      </c>
      <c r="I213" s="5" t="s">
        <v>4190</v>
      </c>
      <c r="J213" s="12" t="s">
        <v>2972</v>
      </c>
      <c r="K213" s="5" t="s">
        <v>21</v>
      </c>
      <c r="L213" s="5" t="s">
        <v>21</v>
      </c>
      <c r="M213" s="5" t="s">
        <v>25</v>
      </c>
      <c r="N213" s="5" t="s">
        <v>26</v>
      </c>
      <c r="O213" s="5" t="s">
        <v>21</v>
      </c>
      <c r="P213" s="5" t="s">
        <v>21</v>
      </c>
      <c r="Q213" s="5" t="s">
        <v>21</v>
      </c>
      <c r="R213" s="5" t="s">
        <v>21</v>
      </c>
      <c r="S213" s="5" t="s">
        <v>21</v>
      </c>
      <c r="T213" s="5" t="s">
        <v>4191</v>
      </c>
      <c r="U213" s="5" t="s">
        <v>4192</v>
      </c>
      <c r="V213" s="5" t="s">
        <v>4193</v>
      </c>
      <c r="W213" s="5" t="s">
        <v>4194</v>
      </c>
      <c r="X213" s="5" t="s">
        <v>2015</v>
      </c>
      <c r="Y213" s="5" t="s">
        <v>4195</v>
      </c>
      <c r="Z213" s="5" t="s">
        <v>2017</v>
      </c>
      <c r="AA213" s="5" t="s">
        <v>1451</v>
      </c>
      <c r="AB213" s="5" t="s">
        <v>2804</v>
      </c>
      <c r="AC213" s="5" t="s">
        <v>21</v>
      </c>
      <c r="AD213" s="5" t="s">
        <v>21</v>
      </c>
      <c r="AE213" s="5" t="s">
        <v>21</v>
      </c>
      <c r="AF213" s="5">
        <v>102</v>
      </c>
      <c r="AG213" s="5">
        <v>9</v>
      </c>
      <c r="AH213" s="5">
        <v>9</v>
      </c>
      <c r="AI213" s="5">
        <v>4</v>
      </c>
      <c r="AJ213" s="5">
        <v>24</v>
      </c>
      <c r="AK213" s="5" t="s">
        <v>2981</v>
      </c>
      <c r="AL213" s="5" t="s">
        <v>2982</v>
      </c>
      <c r="AM213" s="5" t="s">
        <v>2983</v>
      </c>
      <c r="AN213" s="5" t="s">
        <v>2984</v>
      </c>
      <c r="AO213" s="5" t="s">
        <v>21</v>
      </c>
      <c r="AP213" s="5" t="s">
        <v>21</v>
      </c>
      <c r="AQ213" s="5" t="s">
        <v>2985</v>
      </c>
      <c r="AR213" s="5" t="s">
        <v>2986</v>
      </c>
      <c r="AS213" s="5" t="s">
        <v>4196</v>
      </c>
      <c r="AT213" s="5">
        <v>2021</v>
      </c>
      <c r="AU213" s="5">
        <v>15</v>
      </c>
      <c r="AV213" s="5">
        <v>3</v>
      </c>
      <c r="AW213" s="5" t="s">
        <v>21</v>
      </c>
      <c r="AX213" s="5" t="s">
        <v>21</v>
      </c>
      <c r="AY213" s="5" t="s">
        <v>21</v>
      </c>
      <c r="AZ213" s="5" t="s">
        <v>21</v>
      </c>
      <c r="BA213" s="5">
        <v>137</v>
      </c>
      <c r="BB213" s="5">
        <v>158</v>
      </c>
      <c r="BC213" s="5" t="s">
        <v>21</v>
      </c>
      <c r="BD213" s="5" t="s">
        <v>4197</v>
      </c>
      <c r="BE213" s="5" t="str">
        <f>HYPERLINK("http://dx.doi.org/10.1108/JET-09-2020-0037","http://dx.doi.org/10.1108/JET-09-2020-0037")</f>
        <v>http://dx.doi.org/10.1108/JET-09-2020-0037</v>
      </c>
      <c r="BF213" s="5" t="s">
        <v>21</v>
      </c>
      <c r="BG213" s="5" t="s">
        <v>4198</v>
      </c>
      <c r="BH213" s="5">
        <v>22</v>
      </c>
      <c r="BI213" s="5" t="s">
        <v>2990</v>
      </c>
      <c r="BJ213" s="5" t="s">
        <v>1907</v>
      </c>
      <c r="BK213" s="5" t="s">
        <v>2990</v>
      </c>
      <c r="BL213" s="5" t="s">
        <v>4199</v>
      </c>
      <c r="BM213" s="5" t="s">
        <v>21</v>
      </c>
      <c r="BN213" s="5" t="s">
        <v>21</v>
      </c>
      <c r="BO213" s="5" t="s">
        <v>21</v>
      </c>
      <c r="BP213" s="5" t="s">
        <v>21</v>
      </c>
      <c r="BQ213" s="5" t="s">
        <v>49</v>
      </c>
      <c r="BR213" s="5" t="s">
        <v>4200</v>
      </c>
      <c r="BS213" s="5" t="str">
        <f>HYPERLINK("https%3A%2F%2Fwww.webofscience.com%2Fwos%2Fwoscc%2Ffull-record%2FWOS:000655186300001","View Full Record in Web of Science")</f>
        <v>View Full Record in Web of Science</v>
      </c>
    </row>
    <row r="214" spans="1:71" x14ac:dyDescent="0.25">
      <c r="A214" t="s">
        <v>19</v>
      </c>
      <c r="B214" s="5" t="s">
        <v>4201</v>
      </c>
      <c r="C214" s="5" t="s">
        <v>21</v>
      </c>
      <c r="D214" s="5" t="s">
        <v>21</v>
      </c>
      <c r="E214" s="5" t="s">
        <v>21</v>
      </c>
      <c r="F214" s="5" t="s">
        <v>4202</v>
      </c>
      <c r="G214" s="5" t="s">
        <v>21</v>
      </c>
      <c r="H214" s="5" t="s">
        <v>21</v>
      </c>
      <c r="I214" s="5" t="s">
        <v>4203</v>
      </c>
      <c r="J214" s="12" t="s">
        <v>4204</v>
      </c>
      <c r="K214" s="5" t="s">
        <v>21</v>
      </c>
      <c r="L214" s="5" t="s">
        <v>21</v>
      </c>
      <c r="M214" s="5" t="s">
        <v>25</v>
      </c>
      <c r="N214" s="5" t="s">
        <v>26</v>
      </c>
      <c r="O214" s="5" t="s">
        <v>21</v>
      </c>
      <c r="P214" s="5" t="s">
        <v>21</v>
      </c>
      <c r="Q214" s="5" t="s">
        <v>21</v>
      </c>
      <c r="R214" s="5" t="s">
        <v>21</v>
      </c>
      <c r="S214" s="5" t="s">
        <v>21</v>
      </c>
      <c r="T214" s="5" t="s">
        <v>4205</v>
      </c>
      <c r="U214" s="5" t="s">
        <v>4206</v>
      </c>
      <c r="V214" s="5" t="s">
        <v>4207</v>
      </c>
      <c r="W214" s="5" t="s">
        <v>4208</v>
      </c>
      <c r="X214" s="5" t="s">
        <v>4209</v>
      </c>
      <c r="Y214" s="5" t="s">
        <v>4210</v>
      </c>
      <c r="Z214" s="5" t="s">
        <v>4211</v>
      </c>
      <c r="AA214" s="5" t="s">
        <v>4212</v>
      </c>
      <c r="AB214" s="5" t="s">
        <v>4213</v>
      </c>
      <c r="AC214" s="5" t="s">
        <v>21</v>
      </c>
      <c r="AD214" s="5" t="s">
        <v>21</v>
      </c>
      <c r="AE214" s="5" t="s">
        <v>21</v>
      </c>
      <c r="AF214" s="5">
        <v>49</v>
      </c>
      <c r="AG214" s="5">
        <v>9</v>
      </c>
      <c r="AH214" s="5">
        <v>10</v>
      </c>
      <c r="AI214" s="5">
        <v>1</v>
      </c>
      <c r="AJ214" s="5">
        <v>19</v>
      </c>
      <c r="AK214" s="5" t="s">
        <v>1623</v>
      </c>
      <c r="AL214" s="5" t="s">
        <v>1624</v>
      </c>
      <c r="AM214" s="5" t="s">
        <v>1625</v>
      </c>
      <c r="AN214" s="5" t="s">
        <v>4214</v>
      </c>
      <c r="AO214" s="5" t="s">
        <v>4215</v>
      </c>
      <c r="AP214" s="5" t="s">
        <v>21</v>
      </c>
      <c r="AQ214" s="5" t="s">
        <v>4216</v>
      </c>
      <c r="AR214" s="5" t="s">
        <v>4217</v>
      </c>
      <c r="AS214" s="5" t="s">
        <v>290</v>
      </c>
      <c r="AT214" s="5">
        <v>2020</v>
      </c>
      <c r="AU214" s="5">
        <v>10</v>
      </c>
      <c r="AV214" s="5">
        <v>4</v>
      </c>
      <c r="AW214" s="5" t="s">
        <v>21</v>
      </c>
      <c r="AX214" s="5" t="s">
        <v>21</v>
      </c>
      <c r="AY214" s="5" t="s">
        <v>501</v>
      </c>
      <c r="AZ214" s="5" t="s">
        <v>21</v>
      </c>
      <c r="BA214" s="5">
        <v>979</v>
      </c>
      <c r="BB214" s="5">
        <v>995</v>
      </c>
      <c r="BC214" s="5" t="s">
        <v>21</v>
      </c>
      <c r="BD214" s="5" t="s">
        <v>4218</v>
      </c>
      <c r="BE214" s="5" t="str">
        <f>HYPERLINK("http://dx.doi.org/10.1007/s12553-020-00458-x","http://dx.doi.org/10.1007/s12553-020-00458-x")</f>
        <v>http://dx.doi.org/10.1007/s12553-020-00458-x</v>
      </c>
      <c r="BF214" s="5" t="s">
        <v>21</v>
      </c>
      <c r="BG214" s="5" t="s">
        <v>21</v>
      </c>
      <c r="BH214" s="5">
        <v>17</v>
      </c>
      <c r="BI214" s="5" t="s">
        <v>4219</v>
      </c>
      <c r="BJ214" s="5" t="s">
        <v>1907</v>
      </c>
      <c r="BK214" s="5" t="s">
        <v>4219</v>
      </c>
      <c r="BL214" s="5" t="s">
        <v>4220</v>
      </c>
      <c r="BM214" s="5" t="s">
        <v>21</v>
      </c>
      <c r="BN214" s="5" t="s">
        <v>21</v>
      </c>
      <c r="BO214" s="5" t="s">
        <v>21</v>
      </c>
      <c r="BP214" s="5" t="s">
        <v>21</v>
      </c>
      <c r="BQ214" s="5" t="s">
        <v>49</v>
      </c>
      <c r="BR214" s="5" t="s">
        <v>4221</v>
      </c>
      <c r="BS214" s="5" t="str">
        <f>HYPERLINK("https%3A%2F%2Fwww.webofscience.com%2Fwos%2Fwoscc%2Ffull-record%2FWOS:000554758400015","View Full Record in Web of Science")</f>
        <v>View Full Record in Web of Science</v>
      </c>
    </row>
    <row r="215" spans="1:71" x14ac:dyDescent="0.25">
      <c r="A215" t="s">
        <v>19</v>
      </c>
      <c r="B215" s="5" t="s">
        <v>4222</v>
      </c>
      <c r="C215" s="5" t="s">
        <v>21</v>
      </c>
      <c r="D215" s="5" t="s">
        <v>21</v>
      </c>
      <c r="E215" s="5" t="s">
        <v>21</v>
      </c>
      <c r="F215" s="5" t="s">
        <v>4223</v>
      </c>
      <c r="G215" s="5" t="s">
        <v>21</v>
      </c>
      <c r="H215" s="5" t="s">
        <v>21</v>
      </c>
      <c r="I215" s="5" t="s">
        <v>4224</v>
      </c>
      <c r="J215" s="12" t="s">
        <v>3868</v>
      </c>
      <c r="K215" s="5" t="s">
        <v>21</v>
      </c>
      <c r="L215" s="5" t="s">
        <v>21</v>
      </c>
      <c r="M215" s="5" t="s">
        <v>25</v>
      </c>
      <c r="N215" s="5" t="s">
        <v>26</v>
      </c>
      <c r="O215" s="5" t="s">
        <v>21</v>
      </c>
      <c r="P215" s="5" t="s">
        <v>21</v>
      </c>
      <c r="Q215" s="5" t="s">
        <v>21</v>
      </c>
      <c r="R215" s="5" t="s">
        <v>21</v>
      </c>
      <c r="S215" s="5" t="s">
        <v>21</v>
      </c>
      <c r="T215" s="5" t="s">
        <v>4225</v>
      </c>
      <c r="U215" s="5" t="s">
        <v>4226</v>
      </c>
      <c r="V215" s="5" t="s">
        <v>4227</v>
      </c>
      <c r="W215" s="5" t="s">
        <v>4228</v>
      </c>
      <c r="X215" s="5" t="s">
        <v>4229</v>
      </c>
      <c r="Y215" s="5" t="s">
        <v>4230</v>
      </c>
      <c r="Z215" s="5" t="s">
        <v>4231</v>
      </c>
      <c r="AA215" s="5" t="s">
        <v>4232</v>
      </c>
      <c r="AB215" s="5" t="s">
        <v>4233</v>
      </c>
      <c r="AC215" s="5" t="s">
        <v>4234</v>
      </c>
      <c r="AD215" s="5" t="s">
        <v>4234</v>
      </c>
      <c r="AE215" s="5" t="s">
        <v>4235</v>
      </c>
      <c r="AF215" s="5">
        <v>37</v>
      </c>
      <c r="AG215" s="5">
        <v>9</v>
      </c>
      <c r="AH215" s="5">
        <v>9</v>
      </c>
      <c r="AI215" s="5">
        <v>1</v>
      </c>
      <c r="AJ215" s="5">
        <v>15</v>
      </c>
      <c r="AK215" s="5" t="s">
        <v>193</v>
      </c>
      <c r="AL215" s="5" t="s">
        <v>194</v>
      </c>
      <c r="AM215" s="5" t="s">
        <v>195</v>
      </c>
      <c r="AN215" s="5" t="s">
        <v>21</v>
      </c>
      <c r="AO215" s="5" t="s">
        <v>3878</v>
      </c>
      <c r="AP215" s="5" t="s">
        <v>21</v>
      </c>
      <c r="AQ215" s="5" t="s">
        <v>3879</v>
      </c>
      <c r="AR215" s="5" t="s">
        <v>3880</v>
      </c>
      <c r="AS215" s="5" t="s">
        <v>69</v>
      </c>
      <c r="AT215" s="5">
        <v>2020</v>
      </c>
      <c r="AU215" s="5">
        <v>10</v>
      </c>
      <c r="AV215" s="5">
        <v>5</v>
      </c>
      <c r="AW215" s="5" t="s">
        <v>21</v>
      </c>
      <c r="AX215" s="5" t="s">
        <v>21</v>
      </c>
      <c r="AY215" s="5" t="s">
        <v>21</v>
      </c>
      <c r="AZ215" s="5" t="s">
        <v>21</v>
      </c>
      <c r="BA215" s="5" t="s">
        <v>21</v>
      </c>
      <c r="BB215" s="5" t="s">
        <v>21</v>
      </c>
      <c r="BC215" s="5">
        <v>259</v>
      </c>
      <c r="BD215" s="5" t="s">
        <v>4236</v>
      </c>
      <c r="BE215" s="5" t="str">
        <f>HYPERLINK("http://dx.doi.org/10.3390/brainsci10050259","http://dx.doi.org/10.3390/brainsci10050259")</f>
        <v>http://dx.doi.org/10.3390/brainsci10050259</v>
      </c>
      <c r="BF215" s="5" t="s">
        <v>21</v>
      </c>
      <c r="BG215" s="5" t="s">
        <v>21</v>
      </c>
      <c r="BH215" s="5">
        <v>13</v>
      </c>
      <c r="BI215" s="5" t="s">
        <v>1166</v>
      </c>
      <c r="BJ215" s="5" t="s">
        <v>92</v>
      </c>
      <c r="BK215" s="5" t="s">
        <v>1167</v>
      </c>
      <c r="BL215" s="5" t="s">
        <v>4237</v>
      </c>
      <c r="BM215" s="5">
        <v>32365509</v>
      </c>
      <c r="BN215" s="5" t="s">
        <v>163</v>
      </c>
      <c r="BO215" s="5" t="s">
        <v>21</v>
      </c>
      <c r="BP215" s="5" t="s">
        <v>21</v>
      </c>
      <c r="BQ215" s="5" t="s">
        <v>49</v>
      </c>
      <c r="BR215" s="5" t="s">
        <v>4238</v>
      </c>
      <c r="BS215" s="5" t="str">
        <f>HYPERLINK("https%3A%2F%2Fwww.webofscience.com%2Fwos%2Fwoscc%2Ffull-record%2FWOS:000541036100057","View Full Record in Web of Science")</f>
        <v>View Full Record in Web of Science</v>
      </c>
    </row>
    <row r="216" spans="1:71" x14ac:dyDescent="0.25">
      <c r="A216" t="s">
        <v>19</v>
      </c>
      <c r="B216" s="5" t="s">
        <v>4239</v>
      </c>
      <c r="C216" s="5" t="s">
        <v>21</v>
      </c>
      <c r="D216" s="5" t="s">
        <v>21</v>
      </c>
      <c r="E216" s="5" t="s">
        <v>21</v>
      </c>
      <c r="F216" s="5" t="s">
        <v>4240</v>
      </c>
      <c r="G216" s="5" t="s">
        <v>21</v>
      </c>
      <c r="H216" s="5" t="s">
        <v>21</v>
      </c>
      <c r="I216" s="5" t="s">
        <v>4241</v>
      </c>
      <c r="J216" s="12" t="s">
        <v>4242</v>
      </c>
      <c r="K216" s="5" t="s">
        <v>21</v>
      </c>
      <c r="L216" s="5" t="s">
        <v>21</v>
      </c>
      <c r="M216" s="5" t="s">
        <v>25</v>
      </c>
      <c r="N216" s="5" t="s">
        <v>76</v>
      </c>
      <c r="O216" s="5" t="s">
        <v>21</v>
      </c>
      <c r="P216" s="5" t="s">
        <v>21</v>
      </c>
      <c r="Q216" s="5" t="s">
        <v>21</v>
      </c>
      <c r="R216" s="5" t="s">
        <v>21</v>
      </c>
      <c r="S216" s="5" t="s">
        <v>21</v>
      </c>
      <c r="T216" s="5" t="s">
        <v>4243</v>
      </c>
      <c r="U216" s="5" t="s">
        <v>4244</v>
      </c>
      <c r="V216" s="5" t="s">
        <v>4245</v>
      </c>
      <c r="W216" s="5" t="s">
        <v>4246</v>
      </c>
      <c r="X216" s="5" t="s">
        <v>4247</v>
      </c>
      <c r="Y216" s="5" t="s">
        <v>4248</v>
      </c>
      <c r="Z216" s="5" t="s">
        <v>21</v>
      </c>
      <c r="AA216" s="5" t="s">
        <v>4249</v>
      </c>
      <c r="AB216" s="5" t="s">
        <v>4250</v>
      </c>
      <c r="AC216" s="5" t="s">
        <v>21</v>
      </c>
      <c r="AD216" s="5" t="s">
        <v>21</v>
      </c>
      <c r="AE216" s="5" t="s">
        <v>4251</v>
      </c>
      <c r="AF216" s="5">
        <v>86</v>
      </c>
      <c r="AG216" s="5">
        <v>8</v>
      </c>
      <c r="AH216" s="5">
        <v>8</v>
      </c>
      <c r="AI216" s="5">
        <v>41</v>
      </c>
      <c r="AJ216" s="5">
        <v>50</v>
      </c>
      <c r="AK216" s="5" t="s">
        <v>1133</v>
      </c>
      <c r="AL216" s="5" t="s">
        <v>1134</v>
      </c>
      <c r="AM216" s="5" t="s">
        <v>1135</v>
      </c>
      <c r="AN216" s="5" t="s">
        <v>4252</v>
      </c>
      <c r="AO216" s="5" t="s">
        <v>4253</v>
      </c>
      <c r="AP216" s="5" t="s">
        <v>21</v>
      </c>
      <c r="AQ216" s="5" t="s">
        <v>4254</v>
      </c>
      <c r="AR216" s="5" t="s">
        <v>4255</v>
      </c>
      <c r="AS216" s="5" t="s">
        <v>543</v>
      </c>
      <c r="AT216" s="5">
        <v>2024</v>
      </c>
      <c r="AU216" s="5">
        <v>101</v>
      </c>
      <c r="AV216" s="5" t="s">
        <v>21</v>
      </c>
      <c r="AW216" s="5" t="s">
        <v>21</v>
      </c>
      <c r="AX216" s="5" t="s">
        <v>21</v>
      </c>
      <c r="AY216" s="5" t="s">
        <v>21</v>
      </c>
      <c r="AZ216" s="5" t="s">
        <v>21</v>
      </c>
      <c r="BA216" s="5" t="s">
        <v>21</v>
      </c>
      <c r="BB216" s="5" t="s">
        <v>21</v>
      </c>
      <c r="BC216" s="5">
        <v>104241</v>
      </c>
      <c r="BD216" s="5" t="s">
        <v>4256</v>
      </c>
      <c r="BE216" s="5" t="str">
        <f>HYPERLINK("http://dx.doi.org/10.1016/j.ajp.2024.104241","http://dx.doi.org/10.1016/j.ajp.2024.104241")</f>
        <v>http://dx.doi.org/10.1016/j.ajp.2024.104241</v>
      </c>
      <c r="BF216" s="5" t="s">
        <v>21</v>
      </c>
      <c r="BG216" s="5" t="s">
        <v>4257</v>
      </c>
      <c r="BH216" s="5">
        <v>8</v>
      </c>
      <c r="BI216" s="5" t="s">
        <v>161</v>
      </c>
      <c r="BJ216" s="5" t="s">
        <v>524</v>
      </c>
      <c r="BK216" s="5" t="s">
        <v>161</v>
      </c>
      <c r="BL216" s="5" t="s">
        <v>4258</v>
      </c>
      <c r="BM216" s="5">
        <v>39276483</v>
      </c>
      <c r="BN216" s="5" t="s">
        <v>21</v>
      </c>
      <c r="BO216" s="5" t="s">
        <v>21</v>
      </c>
      <c r="BP216" s="5" t="s">
        <v>21</v>
      </c>
      <c r="BQ216" s="5" t="s">
        <v>49</v>
      </c>
      <c r="BR216" s="5" t="s">
        <v>4259</v>
      </c>
      <c r="BS216" s="5" t="str">
        <f>HYPERLINK("https%3A%2F%2Fwww.webofscience.com%2Fwos%2Fwoscc%2Ffull-record%2FWOS:001316804800001","View Full Record in Web of Science")</f>
        <v>View Full Record in Web of Science</v>
      </c>
    </row>
    <row r="217" spans="1:71" x14ac:dyDescent="0.25">
      <c r="A217" t="s">
        <v>19</v>
      </c>
      <c r="B217" s="5" t="s">
        <v>4260</v>
      </c>
      <c r="C217" s="5" t="s">
        <v>21</v>
      </c>
      <c r="D217" s="5" t="s">
        <v>21</v>
      </c>
      <c r="E217" s="5" t="s">
        <v>21</v>
      </c>
      <c r="F217" s="5" t="s">
        <v>4261</v>
      </c>
      <c r="G217" s="5" t="s">
        <v>21</v>
      </c>
      <c r="H217" s="5" t="s">
        <v>21</v>
      </c>
      <c r="I217" s="5" t="s">
        <v>4262</v>
      </c>
      <c r="J217" s="12" t="s">
        <v>2552</v>
      </c>
      <c r="K217" s="5" t="s">
        <v>21</v>
      </c>
      <c r="L217" s="5" t="s">
        <v>21</v>
      </c>
      <c r="M217" s="5" t="s">
        <v>25</v>
      </c>
      <c r="N217" s="5" t="s">
        <v>26</v>
      </c>
      <c r="O217" s="5" t="s">
        <v>21</v>
      </c>
      <c r="P217" s="5" t="s">
        <v>21</v>
      </c>
      <c r="Q217" s="5" t="s">
        <v>21</v>
      </c>
      <c r="R217" s="5" t="s">
        <v>21</v>
      </c>
      <c r="S217" s="5" t="s">
        <v>21</v>
      </c>
      <c r="T217" s="5" t="s">
        <v>4263</v>
      </c>
      <c r="U217" s="5" t="s">
        <v>4264</v>
      </c>
      <c r="V217" s="5" t="s">
        <v>4265</v>
      </c>
      <c r="W217" s="5" t="s">
        <v>4266</v>
      </c>
      <c r="X217" s="5" t="s">
        <v>4267</v>
      </c>
      <c r="Y217" s="5" t="s">
        <v>4268</v>
      </c>
      <c r="Z217" s="5" t="s">
        <v>4269</v>
      </c>
      <c r="AA217" s="5" t="s">
        <v>4270</v>
      </c>
      <c r="AB217" s="5" t="s">
        <v>21</v>
      </c>
      <c r="AC217" s="5" t="s">
        <v>21</v>
      </c>
      <c r="AD217" s="5" t="s">
        <v>21</v>
      </c>
      <c r="AE217" s="5" t="s">
        <v>4271</v>
      </c>
      <c r="AF217" s="5">
        <v>53</v>
      </c>
      <c r="AG217" s="5">
        <v>8</v>
      </c>
      <c r="AH217" s="5">
        <v>8</v>
      </c>
      <c r="AI217" s="5">
        <v>60</v>
      </c>
      <c r="AJ217" s="5">
        <v>98</v>
      </c>
      <c r="AK217" s="5" t="s">
        <v>110</v>
      </c>
      <c r="AL217" s="5" t="s">
        <v>84</v>
      </c>
      <c r="AM217" s="5" t="s">
        <v>111</v>
      </c>
      <c r="AN217" s="5" t="s">
        <v>2561</v>
      </c>
      <c r="AO217" s="5" t="s">
        <v>2562</v>
      </c>
      <c r="AP217" s="5" t="s">
        <v>21</v>
      </c>
      <c r="AQ217" s="5" t="s">
        <v>2563</v>
      </c>
      <c r="AR217" s="5" t="s">
        <v>2564</v>
      </c>
      <c r="AS217" s="5" t="s">
        <v>199</v>
      </c>
      <c r="AT217" s="5">
        <v>2024</v>
      </c>
      <c r="AU217" s="5">
        <v>151</v>
      </c>
      <c r="AV217" s="5" t="s">
        <v>21</v>
      </c>
      <c r="AW217" s="5" t="s">
        <v>21</v>
      </c>
      <c r="AX217" s="5" t="s">
        <v>21</v>
      </c>
      <c r="AY217" s="5" t="s">
        <v>21</v>
      </c>
      <c r="AZ217" s="5" t="s">
        <v>21</v>
      </c>
      <c r="BA217" s="5" t="s">
        <v>21</v>
      </c>
      <c r="BB217" s="5" t="s">
        <v>21</v>
      </c>
      <c r="BC217" s="5">
        <v>104771</v>
      </c>
      <c r="BD217" s="5" t="s">
        <v>4272</v>
      </c>
      <c r="BE217" s="5" t="str">
        <f>HYPERLINK("http://dx.doi.org/10.1016/j.ridd.2024.104771","http://dx.doi.org/10.1016/j.ridd.2024.104771")</f>
        <v>http://dx.doi.org/10.1016/j.ridd.2024.104771</v>
      </c>
      <c r="BF217" s="5" t="s">
        <v>21</v>
      </c>
      <c r="BG217" s="5" t="s">
        <v>4273</v>
      </c>
      <c r="BH217" s="5">
        <v>13</v>
      </c>
      <c r="BI217" s="5" t="s">
        <v>887</v>
      </c>
      <c r="BJ217" s="5" t="s">
        <v>45</v>
      </c>
      <c r="BK217" s="5" t="s">
        <v>888</v>
      </c>
      <c r="BL217" s="5" t="s">
        <v>4274</v>
      </c>
      <c r="BM217" s="5">
        <v>38941690</v>
      </c>
      <c r="BN217" s="5" t="s">
        <v>21</v>
      </c>
      <c r="BO217" s="5" t="s">
        <v>21</v>
      </c>
      <c r="BP217" s="5" t="s">
        <v>21</v>
      </c>
      <c r="BQ217" s="5" t="s">
        <v>49</v>
      </c>
      <c r="BR217" s="5" t="s">
        <v>4275</v>
      </c>
      <c r="BS217" s="5" t="str">
        <f>HYPERLINK("https%3A%2F%2Fwww.webofscience.com%2Fwos%2Fwoscc%2Ffull-record%2FWOS:001266832800001","View Full Record in Web of Science")</f>
        <v>View Full Record in Web of Science</v>
      </c>
    </row>
    <row r="218" spans="1:71" x14ac:dyDescent="0.25">
      <c r="A218" t="s">
        <v>19</v>
      </c>
      <c r="B218" s="5" t="s">
        <v>4276</v>
      </c>
      <c r="C218" s="5" t="s">
        <v>21</v>
      </c>
      <c r="D218" s="5" t="s">
        <v>21</v>
      </c>
      <c r="E218" s="5" t="s">
        <v>21</v>
      </c>
      <c r="F218" s="5" t="s">
        <v>4277</v>
      </c>
      <c r="G218" s="5" t="s">
        <v>21</v>
      </c>
      <c r="H218" s="5" t="s">
        <v>21</v>
      </c>
      <c r="I218" s="5" t="s">
        <v>4278</v>
      </c>
      <c r="J218" s="12" t="s">
        <v>894</v>
      </c>
      <c r="K218" s="5" t="s">
        <v>21</v>
      </c>
      <c r="L218" s="5" t="s">
        <v>21</v>
      </c>
      <c r="M218" s="5" t="s">
        <v>25</v>
      </c>
      <c r="N218" s="5" t="s">
        <v>26</v>
      </c>
      <c r="O218" s="5" t="s">
        <v>21</v>
      </c>
      <c r="P218" s="5" t="s">
        <v>21</v>
      </c>
      <c r="Q218" s="5" t="s">
        <v>21</v>
      </c>
      <c r="R218" s="5" t="s">
        <v>21</v>
      </c>
      <c r="S218" s="5" t="s">
        <v>21</v>
      </c>
      <c r="T218" s="5" t="s">
        <v>4279</v>
      </c>
      <c r="U218" s="5" t="s">
        <v>4280</v>
      </c>
      <c r="V218" s="5" t="s">
        <v>4281</v>
      </c>
      <c r="W218" s="5" t="s">
        <v>4282</v>
      </c>
      <c r="X218" s="5" t="s">
        <v>4283</v>
      </c>
      <c r="Y218" s="5" t="s">
        <v>4284</v>
      </c>
      <c r="Z218" s="5" t="s">
        <v>4285</v>
      </c>
      <c r="AA218" s="5" t="s">
        <v>4286</v>
      </c>
      <c r="AB218" s="5" t="s">
        <v>4287</v>
      </c>
      <c r="AC218" s="5" t="s">
        <v>4288</v>
      </c>
      <c r="AD218" s="5" t="s">
        <v>4289</v>
      </c>
      <c r="AE218" s="5" t="s">
        <v>4290</v>
      </c>
      <c r="AF218" s="5">
        <v>38</v>
      </c>
      <c r="AG218" s="5">
        <v>8</v>
      </c>
      <c r="AH218" s="5">
        <v>9</v>
      </c>
      <c r="AI218" s="5">
        <v>21</v>
      </c>
      <c r="AJ218" s="5">
        <v>48</v>
      </c>
      <c r="AK218" s="5" t="s">
        <v>904</v>
      </c>
      <c r="AL218" s="5" t="s">
        <v>36</v>
      </c>
      <c r="AM218" s="5" t="s">
        <v>905</v>
      </c>
      <c r="AN218" s="5" t="s">
        <v>906</v>
      </c>
      <c r="AO218" s="5" t="s">
        <v>907</v>
      </c>
      <c r="AP218" s="5" t="s">
        <v>21</v>
      </c>
      <c r="AQ218" s="5" t="s">
        <v>908</v>
      </c>
      <c r="AR218" s="5" t="s">
        <v>909</v>
      </c>
      <c r="AS218" s="5" t="s">
        <v>269</v>
      </c>
      <c r="AT218" s="5">
        <v>2023</v>
      </c>
      <c r="AU218" s="5">
        <v>28</v>
      </c>
      <c r="AV218" s="5">
        <v>12</v>
      </c>
      <c r="AW218" s="5" t="s">
        <v>21</v>
      </c>
      <c r="AX218" s="5" t="s">
        <v>21</v>
      </c>
      <c r="AY218" s="5" t="s">
        <v>21</v>
      </c>
      <c r="AZ218" s="5" t="s">
        <v>21</v>
      </c>
      <c r="BA218" s="5">
        <v>16887</v>
      </c>
      <c r="BB218" s="5">
        <v>16907</v>
      </c>
      <c r="BC218" s="5" t="s">
        <v>21</v>
      </c>
      <c r="BD218" s="5" t="s">
        <v>4291</v>
      </c>
      <c r="BE218" s="5" t="str">
        <f>HYPERLINK("http://dx.doi.org/10.1007/s10639-023-11862-x","http://dx.doi.org/10.1007/s10639-023-11862-x")</f>
        <v>http://dx.doi.org/10.1007/s10639-023-11862-x</v>
      </c>
      <c r="BF218" s="5" t="s">
        <v>21</v>
      </c>
      <c r="BG218" s="5" t="s">
        <v>4292</v>
      </c>
      <c r="BH218" s="5">
        <v>21</v>
      </c>
      <c r="BI218" s="5" t="s">
        <v>503</v>
      </c>
      <c r="BJ218" s="5" t="s">
        <v>45</v>
      </c>
      <c r="BK218" s="5" t="s">
        <v>503</v>
      </c>
      <c r="BL218" s="5" t="s">
        <v>4293</v>
      </c>
      <c r="BM218" s="5">
        <v>37361850</v>
      </c>
      <c r="BN218" s="5" t="s">
        <v>970</v>
      </c>
      <c r="BO218" s="5" t="s">
        <v>21</v>
      </c>
      <c r="BP218" s="5" t="s">
        <v>21</v>
      </c>
      <c r="BQ218" s="5" t="s">
        <v>49</v>
      </c>
      <c r="BR218" s="5" t="s">
        <v>4294</v>
      </c>
      <c r="BS218" s="5" t="str">
        <f>HYPERLINK("https%3A%2F%2Fwww.webofscience.com%2Fwos%2Fwoscc%2Ffull-record%2FWOS:000993028600007","View Full Record in Web of Science")</f>
        <v>View Full Record in Web of Science</v>
      </c>
    </row>
    <row r="219" spans="1:71" x14ac:dyDescent="0.25">
      <c r="A219" t="s">
        <v>19</v>
      </c>
      <c r="B219" s="5" t="s">
        <v>4295</v>
      </c>
      <c r="C219" s="5" t="s">
        <v>21</v>
      </c>
      <c r="D219" s="5" t="s">
        <v>21</v>
      </c>
      <c r="E219" s="5" t="s">
        <v>21</v>
      </c>
      <c r="F219" s="5" t="s">
        <v>4296</v>
      </c>
      <c r="G219" s="5" t="s">
        <v>21</v>
      </c>
      <c r="H219" s="5" t="s">
        <v>21</v>
      </c>
      <c r="I219" s="5" t="s">
        <v>4297</v>
      </c>
      <c r="J219" s="12" t="s">
        <v>2128</v>
      </c>
      <c r="K219" s="5" t="s">
        <v>21</v>
      </c>
      <c r="L219" s="5" t="s">
        <v>21</v>
      </c>
      <c r="M219" s="5" t="s">
        <v>25</v>
      </c>
      <c r="N219" s="5" t="s">
        <v>76</v>
      </c>
      <c r="O219" s="5" t="s">
        <v>21</v>
      </c>
      <c r="P219" s="5" t="s">
        <v>21</v>
      </c>
      <c r="Q219" s="5" t="s">
        <v>21</v>
      </c>
      <c r="R219" s="5" t="s">
        <v>21</v>
      </c>
      <c r="S219" s="5" t="s">
        <v>21</v>
      </c>
      <c r="T219" s="5" t="s">
        <v>4298</v>
      </c>
      <c r="U219" s="5" t="s">
        <v>4299</v>
      </c>
      <c r="V219" s="5" t="s">
        <v>4300</v>
      </c>
      <c r="W219" s="5" t="s">
        <v>4301</v>
      </c>
      <c r="X219" s="5" t="s">
        <v>4302</v>
      </c>
      <c r="Y219" s="5" t="s">
        <v>4303</v>
      </c>
      <c r="Z219" s="5" t="s">
        <v>4304</v>
      </c>
      <c r="AA219" s="5" t="s">
        <v>21</v>
      </c>
      <c r="AB219" s="5" t="s">
        <v>4305</v>
      </c>
      <c r="AC219" s="5" t="s">
        <v>4306</v>
      </c>
      <c r="AD219" s="5" t="s">
        <v>4307</v>
      </c>
      <c r="AE219" s="5" t="s">
        <v>4308</v>
      </c>
      <c r="AF219" s="5">
        <v>99</v>
      </c>
      <c r="AG219" s="5">
        <v>8</v>
      </c>
      <c r="AH219" s="5">
        <v>8</v>
      </c>
      <c r="AI219" s="5">
        <v>10</v>
      </c>
      <c r="AJ219" s="5">
        <v>33</v>
      </c>
      <c r="AK219" s="5" t="s">
        <v>1623</v>
      </c>
      <c r="AL219" s="5" t="s">
        <v>1624</v>
      </c>
      <c r="AM219" s="5" t="s">
        <v>1625</v>
      </c>
      <c r="AN219" s="5" t="s">
        <v>2138</v>
      </c>
      <c r="AO219" s="5" t="s">
        <v>2139</v>
      </c>
      <c r="AP219" s="5" t="s">
        <v>21</v>
      </c>
      <c r="AQ219" s="5" t="s">
        <v>2140</v>
      </c>
      <c r="AR219" s="5" t="s">
        <v>2141</v>
      </c>
      <c r="AS219" s="5" t="s">
        <v>176</v>
      </c>
      <c r="AT219" s="5">
        <v>2025</v>
      </c>
      <c r="AU219" s="5">
        <v>12</v>
      </c>
      <c r="AV219" s="5">
        <v>1</v>
      </c>
      <c r="AW219" s="5" t="s">
        <v>21</v>
      </c>
      <c r="AX219" s="5" t="s">
        <v>21</v>
      </c>
      <c r="AY219" s="5" t="s">
        <v>21</v>
      </c>
      <c r="AZ219" s="5" t="s">
        <v>21</v>
      </c>
      <c r="BA219" s="5">
        <v>50</v>
      </c>
      <c r="BB219" s="5">
        <v>68</v>
      </c>
      <c r="BC219" s="5" t="s">
        <v>21</v>
      </c>
      <c r="BD219" s="5" t="s">
        <v>4309</v>
      </c>
      <c r="BE219" s="5" t="str">
        <f>HYPERLINK("http://dx.doi.org/10.1007/s40489-023-00377-3","http://dx.doi.org/10.1007/s40489-023-00377-3")</f>
        <v>http://dx.doi.org/10.1007/s40489-023-00377-3</v>
      </c>
      <c r="BF219" s="5" t="s">
        <v>21</v>
      </c>
      <c r="BG219" s="5" t="s">
        <v>4292</v>
      </c>
      <c r="BH219" s="5">
        <v>19</v>
      </c>
      <c r="BI219" s="5" t="s">
        <v>44</v>
      </c>
      <c r="BJ219" s="5" t="s">
        <v>45</v>
      </c>
      <c r="BK219" s="5" t="s">
        <v>46</v>
      </c>
      <c r="BL219" s="5" t="s">
        <v>4310</v>
      </c>
      <c r="BM219" s="5" t="s">
        <v>21</v>
      </c>
      <c r="BN219" s="5" t="s">
        <v>120</v>
      </c>
      <c r="BO219" s="5" t="s">
        <v>21</v>
      </c>
      <c r="BP219" s="5" t="s">
        <v>21</v>
      </c>
      <c r="BQ219" s="5" t="s">
        <v>49</v>
      </c>
      <c r="BR219" s="5" t="s">
        <v>4311</v>
      </c>
      <c r="BS219" s="5" t="str">
        <f>HYPERLINK("https%3A%2F%2Fwww.webofscience.com%2Fwos%2Fwoscc%2Ffull-record%2FWOS:000982980200003","View Full Record in Web of Science")</f>
        <v>View Full Record in Web of Science</v>
      </c>
    </row>
    <row r="220" spans="1:71" x14ac:dyDescent="0.25">
      <c r="A220" t="s">
        <v>19</v>
      </c>
      <c r="B220" s="5" t="s">
        <v>4312</v>
      </c>
      <c r="C220" s="5" t="s">
        <v>21</v>
      </c>
      <c r="D220" s="5" t="s">
        <v>21</v>
      </c>
      <c r="E220" s="5" t="s">
        <v>21</v>
      </c>
      <c r="F220" s="5" t="s">
        <v>4313</v>
      </c>
      <c r="G220" s="5" t="s">
        <v>21</v>
      </c>
      <c r="H220" s="5" t="s">
        <v>21</v>
      </c>
      <c r="I220" s="5" t="s">
        <v>4314</v>
      </c>
      <c r="J220" s="12" t="s">
        <v>674</v>
      </c>
      <c r="K220" s="5" t="s">
        <v>21</v>
      </c>
      <c r="L220" s="5" t="s">
        <v>21</v>
      </c>
      <c r="M220" s="5" t="s">
        <v>25</v>
      </c>
      <c r="N220" s="5" t="s">
        <v>76</v>
      </c>
      <c r="O220" s="5" t="s">
        <v>21</v>
      </c>
      <c r="P220" s="5" t="s">
        <v>21</v>
      </c>
      <c r="Q220" s="5" t="s">
        <v>21</v>
      </c>
      <c r="R220" s="5" t="s">
        <v>21</v>
      </c>
      <c r="S220" s="5" t="s">
        <v>21</v>
      </c>
      <c r="T220" s="5" t="s">
        <v>4315</v>
      </c>
      <c r="U220" s="5" t="s">
        <v>4316</v>
      </c>
      <c r="V220" s="5" t="s">
        <v>4317</v>
      </c>
      <c r="W220" s="5" t="s">
        <v>4318</v>
      </c>
      <c r="X220" s="5" t="s">
        <v>4319</v>
      </c>
      <c r="Y220" s="5" t="s">
        <v>4320</v>
      </c>
      <c r="Z220" s="5" t="s">
        <v>4321</v>
      </c>
      <c r="AA220" s="5" t="s">
        <v>4322</v>
      </c>
      <c r="AB220" s="5" t="s">
        <v>4323</v>
      </c>
      <c r="AC220" s="5" t="s">
        <v>21</v>
      </c>
      <c r="AD220" s="5" t="s">
        <v>21</v>
      </c>
      <c r="AE220" s="5" t="s">
        <v>21</v>
      </c>
      <c r="AF220" s="5">
        <v>128</v>
      </c>
      <c r="AG220" s="5">
        <v>8</v>
      </c>
      <c r="AH220" s="5">
        <v>8</v>
      </c>
      <c r="AI220" s="5">
        <v>5</v>
      </c>
      <c r="AJ220" s="5">
        <v>37</v>
      </c>
      <c r="AK220" s="5" t="s">
        <v>684</v>
      </c>
      <c r="AL220" s="5" t="s">
        <v>685</v>
      </c>
      <c r="AM220" s="5" t="s">
        <v>686</v>
      </c>
      <c r="AN220" s="5" t="s">
        <v>687</v>
      </c>
      <c r="AO220" s="5" t="s">
        <v>21</v>
      </c>
      <c r="AP220" s="5" t="s">
        <v>21</v>
      </c>
      <c r="AQ220" s="5" t="s">
        <v>688</v>
      </c>
      <c r="AR220" s="5" t="s">
        <v>689</v>
      </c>
      <c r="AS220" s="5" t="s">
        <v>4324</v>
      </c>
      <c r="AT220" s="5">
        <v>2023</v>
      </c>
      <c r="AU220" s="5">
        <v>16</v>
      </c>
      <c r="AV220" s="5">
        <v>1</v>
      </c>
      <c r="AW220" s="5" t="s">
        <v>21</v>
      </c>
      <c r="AX220" s="5" t="s">
        <v>21</v>
      </c>
      <c r="AY220" s="5" t="s">
        <v>21</v>
      </c>
      <c r="AZ220" s="5" t="s">
        <v>21</v>
      </c>
      <c r="BA220" s="5">
        <v>133</v>
      </c>
      <c r="BB220" s="5">
        <v>149</v>
      </c>
      <c r="BC220" s="5" t="s">
        <v>21</v>
      </c>
      <c r="BD220" s="5" t="s">
        <v>4325</v>
      </c>
      <c r="BE220" s="5" t="str">
        <f>HYPERLINK("http://dx.doi.org/10.1109/TLT.2022.3197430","http://dx.doi.org/10.1109/TLT.2022.3197430")</f>
        <v>http://dx.doi.org/10.1109/TLT.2022.3197430</v>
      </c>
      <c r="BF220" s="5" t="s">
        <v>21</v>
      </c>
      <c r="BG220" s="5" t="s">
        <v>21</v>
      </c>
      <c r="BH220" s="5">
        <v>17</v>
      </c>
      <c r="BI220" s="5" t="s">
        <v>292</v>
      </c>
      <c r="BJ220" s="5" t="s">
        <v>92</v>
      </c>
      <c r="BK220" s="5" t="s">
        <v>293</v>
      </c>
      <c r="BL220" s="5" t="s">
        <v>4326</v>
      </c>
      <c r="BM220" s="5" t="s">
        <v>21</v>
      </c>
      <c r="BN220" s="5" t="s">
        <v>21</v>
      </c>
      <c r="BO220" s="5" t="s">
        <v>21</v>
      </c>
      <c r="BP220" s="5" t="s">
        <v>21</v>
      </c>
      <c r="BQ220" s="5" t="s">
        <v>49</v>
      </c>
      <c r="BR220" s="5" t="s">
        <v>4327</v>
      </c>
      <c r="BS220" s="5" t="str">
        <f>HYPERLINK("https%3A%2F%2Fwww.webofscience.com%2Fwos%2Fwoscc%2Ffull-record%2FWOS:000937152500011","View Full Record in Web of Science")</f>
        <v>View Full Record in Web of Science</v>
      </c>
    </row>
    <row r="221" spans="1:71" x14ac:dyDescent="0.25">
      <c r="A221" t="s">
        <v>19</v>
      </c>
      <c r="B221" s="5" t="s">
        <v>4328</v>
      </c>
      <c r="C221" s="5" t="s">
        <v>21</v>
      </c>
      <c r="D221" s="5" t="s">
        <v>21</v>
      </c>
      <c r="E221" s="5" t="s">
        <v>21</v>
      </c>
      <c r="F221" s="5" t="s">
        <v>4329</v>
      </c>
      <c r="G221" s="5" t="s">
        <v>21</v>
      </c>
      <c r="H221" s="5" t="s">
        <v>21</v>
      </c>
      <c r="I221" s="5" t="s">
        <v>4330</v>
      </c>
      <c r="J221" s="12" t="s">
        <v>414</v>
      </c>
      <c r="K221" s="5" t="s">
        <v>21</v>
      </c>
      <c r="L221" s="5" t="s">
        <v>21</v>
      </c>
      <c r="M221" s="5" t="s">
        <v>25</v>
      </c>
      <c r="N221" s="5" t="s">
        <v>26</v>
      </c>
      <c r="O221" s="5" t="s">
        <v>21</v>
      </c>
      <c r="P221" s="5" t="s">
        <v>21</v>
      </c>
      <c r="Q221" s="5" t="s">
        <v>21</v>
      </c>
      <c r="R221" s="5" t="s">
        <v>21</v>
      </c>
      <c r="S221" s="5" t="s">
        <v>21</v>
      </c>
      <c r="T221" s="5" t="s">
        <v>4331</v>
      </c>
      <c r="U221" s="5" t="s">
        <v>4332</v>
      </c>
      <c r="V221" s="5" t="s">
        <v>4333</v>
      </c>
      <c r="W221" s="5" t="s">
        <v>4334</v>
      </c>
      <c r="X221" s="5" t="s">
        <v>4335</v>
      </c>
      <c r="Y221" s="5" t="s">
        <v>4336</v>
      </c>
      <c r="Z221" s="5" t="s">
        <v>4337</v>
      </c>
      <c r="AA221" s="5" t="s">
        <v>4338</v>
      </c>
      <c r="AB221" s="5" t="s">
        <v>4339</v>
      </c>
      <c r="AC221" s="5" t="s">
        <v>4340</v>
      </c>
      <c r="AD221" s="5" t="s">
        <v>4340</v>
      </c>
      <c r="AE221" s="5" t="s">
        <v>4341</v>
      </c>
      <c r="AF221" s="5">
        <v>61</v>
      </c>
      <c r="AG221" s="5">
        <v>8</v>
      </c>
      <c r="AH221" s="5">
        <v>9</v>
      </c>
      <c r="AI221" s="5">
        <v>12</v>
      </c>
      <c r="AJ221" s="5">
        <v>61</v>
      </c>
      <c r="AK221" s="5" t="s">
        <v>424</v>
      </c>
      <c r="AL221" s="5" t="s">
        <v>84</v>
      </c>
      <c r="AM221" s="5" t="s">
        <v>2219</v>
      </c>
      <c r="AN221" s="5" t="s">
        <v>427</v>
      </c>
      <c r="AO221" s="5" t="s">
        <v>428</v>
      </c>
      <c r="AP221" s="5" t="s">
        <v>21</v>
      </c>
      <c r="AQ221" s="5" t="s">
        <v>429</v>
      </c>
      <c r="AR221" s="5" t="s">
        <v>430</v>
      </c>
      <c r="AS221" s="5" t="s">
        <v>199</v>
      </c>
      <c r="AT221" s="5">
        <v>2022</v>
      </c>
      <c r="AU221" s="5">
        <v>96</v>
      </c>
      <c r="AV221" s="5" t="s">
        <v>21</v>
      </c>
      <c r="AW221" s="5" t="s">
        <v>21</v>
      </c>
      <c r="AX221" s="5" t="s">
        <v>21</v>
      </c>
      <c r="AY221" s="5" t="s">
        <v>21</v>
      </c>
      <c r="AZ221" s="5" t="s">
        <v>21</v>
      </c>
      <c r="BA221" s="5" t="s">
        <v>21</v>
      </c>
      <c r="BB221" s="5" t="s">
        <v>21</v>
      </c>
      <c r="BC221" s="5">
        <v>102003</v>
      </c>
      <c r="BD221" s="5" t="s">
        <v>4342</v>
      </c>
      <c r="BE221" s="5" t="str">
        <f>HYPERLINK("http://dx.doi.org/10.1016/j.rasd.2022.102003","http://dx.doi.org/10.1016/j.rasd.2022.102003")</f>
        <v>http://dx.doi.org/10.1016/j.rasd.2022.102003</v>
      </c>
      <c r="BF221" s="5" t="s">
        <v>21</v>
      </c>
      <c r="BG221" s="5" t="s">
        <v>4343</v>
      </c>
      <c r="BH221" s="5">
        <v>13</v>
      </c>
      <c r="BI221" s="5" t="s">
        <v>433</v>
      </c>
      <c r="BJ221" s="5" t="s">
        <v>45</v>
      </c>
      <c r="BK221" s="5" t="s">
        <v>434</v>
      </c>
      <c r="BL221" s="5" t="s">
        <v>4344</v>
      </c>
      <c r="BM221" s="5" t="s">
        <v>21</v>
      </c>
      <c r="BN221" s="5" t="s">
        <v>1076</v>
      </c>
      <c r="BO221" s="5" t="s">
        <v>21</v>
      </c>
      <c r="BP221" s="5" t="s">
        <v>21</v>
      </c>
      <c r="BQ221" s="5" t="s">
        <v>49</v>
      </c>
      <c r="BR221" s="5" t="s">
        <v>4345</v>
      </c>
      <c r="BS221" s="5" t="str">
        <f>HYPERLINK("https%3A%2F%2Fwww.webofscience.com%2Fwos%2Fwoscc%2Ffull-record%2FWOS:000829477400001","View Full Record in Web of Science")</f>
        <v>View Full Record in Web of Science</v>
      </c>
    </row>
    <row r="222" spans="1:71" x14ac:dyDescent="0.25">
      <c r="A222" t="s">
        <v>19</v>
      </c>
      <c r="B222" s="5" t="s">
        <v>4346</v>
      </c>
      <c r="C222" s="5" t="s">
        <v>21</v>
      </c>
      <c r="D222" s="5" t="s">
        <v>21</v>
      </c>
      <c r="E222" s="5" t="s">
        <v>21</v>
      </c>
      <c r="F222" s="5" t="s">
        <v>4347</v>
      </c>
      <c r="G222" s="5" t="s">
        <v>21</v>
      </c>
      <c r="H222" s="5" t="s">
        <v>21</v>
      </c>
      <c r="I222" s="5" t="s">
        <v>4348</v>
      </c>
      <c r="J222" s="12" t="s">
        <v>4349</v>
      </c>
      <c r="K222" s="5" t="s">
        <v>21</v>
      </c>
      <c r="L222" s="5" t="s">
        <v>21</v>
      </c>
      <c r="M222" s="5" t="s">
        <v>25</v>
      </c>
      <c r="N222" s="5" t="s">
        <v>26</v>
      </c>
      <c r="O222" s="5" t="s">
        <v>21</v>
      </c>
      <c r="P222" s="5" t="s">
        <v>21</v>
      </c>
      <c r="Q222" s="5" t="s">
        <v>21</v>
      </c>
      <c r="R222" s="5" t="s">
        <v>21</v>
      </c>
      <c r="S222" s="5" t="s">
        <v>21</v>
      </c>
      <c r="T222" s="5" t="s">
        <v>4350</v>
      </c>
      <c r="U222" s="5" t="s">
        <v>4351</v>
      </c>
      <c r="V222" s="5" t="s">
        <v>4352</v>
      </c>
      <c r="W222" s="5" t="s">
        <v>4353</v>
      </c>
      <c r="X222" s="5" t="s">
        <v>4354</v>
      </c>
      <c r="Y222" s="5" t="s">
        <v>4355</v>
      </c>
      <c r="Z222" s="5" t="s">
        <v>4356</v>
      </c>
      <c r="AA222" s="5" t="s">
        <v>4357</v>
      </c>
      <c r="AB222" s="5" t="s">
        <v>21</v>
      </c>
      <c r="AC222" s="5" t="s">
        <v>21</v>
      </c>
      <c r="AD222" s="5" t="s">
        <v>21</v>
      </c>
      <c r="AE222" s="5" t="s">
        <v>21</v>
      </c>
      <c r="AF222" s="5">
        <v>25</v>
      </c>
      <c r="AG222" s="5">
        <v>8</v>
      </c>
      <c r="AH222" s="5">
        <v>9</v>
      </c>
      <c r="AI222" s="5">
        <v>11</v>
      </c>
      <c r="AJ222" s="5">
        <v>42</v>
      </c>
      <c r="AK222" s="5" t="s">
        <v>4358</v>
      </c>
      <c r="AL222" s="5" t="s">
        <v>4359</v>
      </c>
      <c r="AM222" s="5" t="s">
        <v>4360</v>
      </c>
      <c r="AN222" s="5" t="s">
        <v>4361</v>
      </c>
      <c r="AO222" s="5" t="s">
        <v>4362</v>
      </c>
      <c r="AP222" s="5" t="s">
        <v>21</v>
      </c>
      <c r="AQ222" s="5" t="s">
        <v>4363</v>
      </c>
      <c r="AR222" s="5" t="s">
        <v>4364</v>
      </c>
      <c r="AS222" s="5" t="s">
        <v>290</v>
      </c>
      <c r="AT222" s="5">
        <v>2021</v>
      </c>
      <c r="AU222" s="5">
        <v>24</v>
      </c>
      <c r="AV222" s="5">
        <v>7</v>
      </c>
      <c r="AW222" s="5" t="s">
        <v>21</v>
      </c>
      <c r="AX222" s="5" t="s">
        <v>21</v>
      </c>
      <c r="AY222" s="5" t="s">
        <v>21</v>
      </c>
      <c r="AZ222" s="5" t="s">
        <v>21</v>
      </c>
      <c r="BA222" s="5">
        <v>534</v>
      </c>
      <c r="BB222" s="5">
        <v>541</v>
      </c>
      <c r="BC222" s="5" t="s">
        <v>21</v>
      </c>
      <c r="BD222" s="5" t="s">
        <v>4365</v>
      </c>
      <c r="BE222" s="5" t="str">
        <f>HYPERLINK("http://dx.doi.org/10.34172/aim.2021.76","http://dx.doi.org/10.34172/aim.2021.76")</f>
        <v>http://dx.doi.org/10.34172/aim.2021.76</v>
      </c>
      <c r="BF222" s="5" t="s">
        <v>21</v>
      </c>
      <c r="BG222" s="5" t="s">
        <v>21</v>
      </c>
      <c r="BH222" s="5">
        <v>8</v>
      </c>
      <c r="BI222" s="5" t="s">
        <v>1603</v>
      </c>
      <c r="BJ222" s="5" t="s">
        <v>524</v>
      </c>
      <c r="BK222" s="5" t="s">
        <v>1604</v>
      </c>
      <c r="BL222" s="5" t="s">
        <v>4366</v>
      </c>
      <c r="BM222" s="5">
        <v>34488318</v>
      </c>
      <c r="BN222" s="5" t="s">
        <v>120</v>
      </c>
      <c r="BO222" s="5" t="s">
        <v>21</v>
      </c>
      <c r="BP222" s="5" t="s">
        <v>21</v>
      </c>
      <c r="BQ222" s="5" t="s">
        <v>49</v>
      </c>
      <c r="BR222" s="5" t="s">
        <v>4367</v>
      </c>
      <c r="BS222" s="5" t="str">
        <f>HYPERLINK("https%3A%2F%2Fwww.webofscience.com%2Fwos%2Fwoscc%2Ffull-record%2FWOS:000689522800003","View Full Record in Web of Science")</f>
        <v>View Full Record in Web of Science</v>
      </c>
    </row>
    <row r="223" spans="1:71" x14ac:dyDescent="0.25">
      <c r="A223" t="s">
        <v>19</v>
      </c>
      <c r="B223" s="5" t="s">
        <v>4368</v>
      </c>
      <c r="C223" s="5" t="s">
        <v>21</v>
      </c>
      <c r="D223" s="5" t="s">
        <v>21</v>
      </c>
      <c r="E223" s="5" t="s">
        <v>21</v>
      </c>
      <c r="F223" s="5" t="s">
        <v>4369</v>
      </c>
      <c r="G223" s="5" t="s">
        <v>21</v>
      </c>
      <c r="H223" s="5" t="s">
        <v>21</v>
      </c>
      <c r="I223" s="5" t="s">
        <v>4370</v>
      </c>
      <c r="J223" s="12" t="s">
        <v>4371</v>
      </c>
      <c r="K223" s="5" t="s">
        <v>21</v>
      </c>
      <c r="L223" s="5" t="s">
        <v>21</v>
      </c>
      <c r="M223" s="5" t="s">
        <v>25</v>
      </c>
      <c r="N223" s="5" t="s">
        <v>26</v>
      </c>
      <c r="O223" s="5" t="s">
        <v>21</v>
      </c>
      <c r="P223" s="5" t="s">
        <v>21</v>
      </c>
      <c r="Q223" s="5" t="s">
        <v>21</v>
      </c>
      <c r="R223" s="5" t="s">
        <v>21</v>
      </c>
      <c r="S223" s="5" t="s">
        <v>21</v>
      </c>
      <c r="T223" s="5" t="s">
        <v>4372</v>
      </c>
      <c r="U223" s="5" t="s">
        <v>4373</v>
      </c>
      <c r="V223" s="5" t="s">
        <v>21</v>
      </c>
      <c r="W223" s="5" t="s">
        <v>4374</v>
      </c>
      <c r="X223" s="5" t="s">
        <v>4375</v>
      </c>
      <c r="Y223" s="5" t="s">
        <v>4376</v>
      </c>
      <c r="Z223" s="5" t="s">
        <v>4377</v>
      </c>
      <c r="AA223" s="5" t="s">
        <v>21</v>
      </c>
      <c r="AB223" s="5" t="s">
        <v>21</v>
      </c>
      <c r="AC223" s="5" t="s">
        <v>21</v>
      </c>
      <c r="AD223" s="5" t="s">
        <v>21</v>
      </c>
      <c r="AE223" s="5" t="s">
        <v>21</v>
      </c>
      <c r="AF223" s="5">
        <v>4</v>
      </c>
      <c r="AG223" s="5">
        <v>8</v>
      </c>
      <c r="AH223" s="5">
        <v>8</v>
      </c>
      <c r="AI223" s="5">
        <v>8</v>
      </c>
      <c r="AJ223" s="5">
        <v>96</v>
      </c>
      <c r="AK223" s="5" t="s">
        <v>4378</v>
      </c>
      <c r="AL223" s="5" t="s">
        <v>36</v>
      </c>
      <c r="AM223" s="5" t="s">
        <v>4379</v>
      </c>
      <c r="AN223" s="5" t="s">
        <v>4380</v>
      </c>
      <c r="AO223" s="5" t="s">
        <v>21</v>
      </c>
      <c r="AP223" s="5" t="s">
        <v>21</v>
      </c>
      <c r="AQ223" s="5" t="s">
        <v>4381</v>
      </c>
      <c r="AR223" s="5" t="s">
        <v>4382</v>
      </c>
      <c r="AS223" s="5" t="s">
        <v>3051</v>
      </c>
      <c r="AT223" s="5">
        <v>2017</v>
      </c>
      <c r="AU223" s="5">
        <v>35</v>
      </c>
      <c r="AV223" s="5" t="s">
        <v>21</v>
      </c>
      <c r="AW223" s="5" t="s">
        <v>21</v>
      </c>
      <c r="AX223" s="5" t="s">
        <v>21</v>
      </c>
      <c r="AY223" s="5" t="s">
        <v>21</v>
      </c>
      <c r="AZ223" s="5" t="s">
        <v>21</v>
      </c>
      <c r="BA223" s="5">
        <v>8</v>
      </c>
      <c r="BB223" s="5">
        <v>9</v>
      </c>
      <c r="BC223" s="5" t="s">
        <v>21</v>
      </c>
      <c r="BD223" s="5" t="s">
        <v>4383</v>
      </c>
      <c r="BE223" s="5" t="str">
        <f>HYPERLINK("http://dx.doi.org/10.1016/j.pedn.2017.01.013","http://dx.doi.org/10.1016/j.pedn.2017.01.013")</f>
        <v>http://dx.doi.org/10.1016/j.pedn.2017.01.013</v>
      </c>
      <c r="BF223" s="5" t="s">
        <v>21</v>
      </c>
      <c r="BG223" s="5" t="s">
        <v>21</v>
      </c>
      <c r="BH223" s="5">
        <v>2</v>
      </c>
      <c r="BI223" s="5" t="s">
        <v>4384</v>
      </c>
      <c r="BJ223" s="5" t="s">
        <v>92</v>
      </c>
      <c r="BK223" s="5" t="s">
        <v>4384</v>
      </c>
      <c r="BL223" s="5" t="s">
        <v>4385</v>
      </c>
      <c r="BM223" s="5">
        <v>28728774</v>
      </c>
      <c r="BN223" s="5" t="s">
        <v>21</v>
      </c>
      <c r="BO223" s="5" t="s">
        <v>21</v>
      </c>
      <c r="BP223" s="5" t="s">
        <v>21</v>
      </c>
      <c r="BQ223" s="5" t="s">
        <v>49</v>
      </c>
      <c r="BR223" s="5" t="s">
        <v>4386</v>
      </c>
      <c r="BS223" s="5" t="str">
        <f>HYPERLINK("https%3A%2F%2Fwww.webofscience.com%2Fwos%2Fwoscc%2Ffull-record%2FWOS:000406394800004","View Full Record in Web of Science")</f>
        <v>View Full Record in Web of Science</v>
      </c>
    </row>
    <row r="224" spans="1:71" x14ac:dyDescent="0.25">
      <c r="A224" t="s">
        <v>19</v>
      </c>
      <c r="B224" s="5" t="s">
        <v>4387</v>
      </c>
      <c r="C224" s="5" t="s">
        <v>21</v>
      </c>
      <c r="D224" s="5" t="s">
        <v>21</v>
      </c>
      <c r="E224" s="5" t="s">
        <v>21</v>
      </c>
      <c r="F224" s="5" t="s">
        <v>4388</v>
      </c>
      <c r="G224" s="5" t="s">
        <v>21</v>
      </c>
      <c r="H224" s="5" t="s">
        <v>21</v>
      </c>
      <c r="I224" s="5" t="s">
        <v>4389</v>
      </c>
      <c r="J224" s="12" t="s">
        <v>54</v>
      </c>
      <c r="K224" s="5" t="s">
        <v>21</v>
      </c>
      <c r="L224" s="5" t="s">
        <v>21</v>
      </c>
      <c r="M224" s="5" t="s">
        <v>25</v>
      </c>
      <c r="N224" s="5" t="s">
        <v>26</v>
      </c>
      <c r="O224" s="5" t="s">
        <v>21</v>
      </c>
      <c r="P224" s="5" t="s">
        <v>21</v>
      </c>
      <c r="Q224" s="5" t="s">
        <v>21</v>
      </c>
      <c r="R224" s="5" t="s">
        <v>21</v>
      </c>
      <c r="S224" s="5" t="s">
        <v>21</v>
      </c>
      <c r="T224" s="5" t="s">
        <v>4390</v>
      </c>
      <c r="U224" s="5" t="s">
        <v>4391</v>
      </c>
      <c r="V224" s="5" t="s">
        <v>4392</v>
      </c>
      <c r="W224" s="5" t="s">
        <v>4393</v>
      </c>
      <c r="X224" s="5" t="s">
        <v>4394</v>
      </c>
      <c r="Y224" s="5" t="s">
        <v>4395</v>
      </c>
      <c r="Z224" s="5" t="s">
        <v>4396</v>
      </c>
      <c r="AA224" s="5" t="s">
        <v>4397</v>
      </c>
      <c r="AB224" s="5" t="s">
        <v>4398</v>
      </c>
      <c r="AC224" s="5" t="s">
        <v>4399</v>
      </c>
      <c r="AD224" s="5" t="s">
        <v>4399</v>
      </c>
      <c r="AE224" s="5" t="s">
        <v>3987</v>
      </c>
      <c r="AF224" s="5">
        <v>113</v>
      </c>
      <c r="AG224" s="5">
        <v>7</v>
      </c>
      <c r="AH224" s="5">
        <v>7</v>
      </c>
      <c r="AI224" s="5">
        <v>7</v>
      </c>
      <c r="AJ224" s="5">
        <v>32</v>
      </c>
      <c r="AK224" s="5" t="s">
        <v>63</v>
      </c>
      <c r="AL224" s="5" t="s">
        <v>64</v>
      </c>
      <c r="AM224" s="5" t="s">
        <v>65</v>
      </c>
      <c r="AN224" s="5" t="s">
        <v>66</v>
      </c>
      <c r="AO224" s="5" t="s">
        <v>67</v>
      </c>
      <c r="AP224" s="5" t="s">
        <v>21</v>
      </c>
      <c r="AQ224" s="5" t="s">
        <v>54</v>
      </c>
      <c r="AR224" s="5" t="s">
        <v>68</v>
      </c>
      <c r="AS224" s="5" t="s">
        <v>290</v>
      </c>
      <c r="AT224" s="5">
        <v>2024</v>
      </c>
      <c r="AU224" s="5">
        <v>28</v>
      </c>
      <c r="AV224" s="5">
        <v>7</v>
      </c>
      <c r="AW224" s="5" t="s">
        <v>21</v>
      </c>
      <c r="AX224" s="5" t="s">
        <v>21</v>
      </c>
      <c r="AY224" s="5" t="s">
        <v>21</v>
      </c>
      <c r="AZ224" s="5" t="s">
        <v>21</v>
      </c>
      <c r="BA224" s="5">
        <v>1809</v>
      </c>
      <c r="BB224" s="5">
        <v>1827</v>
      </c>
      <c r="BC224" s="5" t="s">
        <v>21</v>
      </c>
      <c r="BD224" s="5" t="s">
        <v>4400</v>
      </c>
      <c r="BE224" s="5" t="str">
        <f>HYPERLINK("http://dx.doi.org/10.1177/13623613231208579","http://dx.doi.org/10.1177/13623613231208579")</f>
        <v>http://dx.doi.org/10.1177/13623613231208579</v>
      </c>
      <c r="BF224" s="5" t="s">
        <v>21</v>
      </c>
      <c r="BG224" s="5" t="s">
        <v>4401</v>
      </c>
      <c r="BH224" s="5">
        <v>19</v>
      </c>
      <c r="BI224" s="5" t="s">
        <v>44</v>
      </c>
      <c r="BJ224" s="5" t="s">
        <v>45</v>
      </c>
      <c r="BK224" s="5" t="s">
        <v>46</v>
      </c>
      <c r="BL224" s="5" t="s">
        <v>4402</v>
      </c>
      <c r="BM224" s="5">
        <v>37937531</v>
      </c>
      <c r="BN224" s="5" t="s">
        <v>21</v>
      </c>
      <c r="BO224" s="5" t="s">
        <v>21</v>
      </c>
      <c r="BP224" s="5" t="s">
        <v>21</v>
      </c>
      <c r="BQ224" s="5" t="s">
        <v>49</v>
      </c>
      <c r="BR224" s="5" t="s">
        <v>4403</v>
      </c>
      <c r="BS224" s="5" t="str">
        <f>HYPERLINK("https%3A%2F%2Fwww.webofscience.com%2Fwos%2Fwoscc%2Ffull-record%2FWOS:001098508700001","View Full Record in Web of Science")</f>
        <v>View Full Record in Web of Science</v>
      </c>
    </row>
    <row r="225" spans="1:71" x14ac:dyDescent="0.25">
      <c r="A225" t="s">
        <v>19</v>
      </c>
      <c r="B225" s="5" t="s">
        <v>4404</v>
      </c>
      <c r="C225" s="5" t="s">
        <v>21</v>
      </c>
      <c r="D225" s="5" t="s">
        <v>21</v>
      </c>
      <c r="E225" s="5" t="s">
        <v>21</v>
      </c>
      <c r="F225" s="5" t="s">
        <v>4405</v>
      </c>
      <c r="G225" s="5" t="s">
        <v>21</v>
      </c>
      <c r="H225" s="5" t="s">
        <v>21</v>
      </c>
      <c r="I225" s="5" t="s">
        <v>4406</v>
      </c>
      <c r="J225" s="12" t="s">
        <v>4407</v>
      </c>
      <c r="K225" s="5" t="s">
        <v>21</v>
      </c>
      <c r="L225" s="5" t="s">
        <v>21</v>
      </c>
      <c r="M225" s="5" t="s">
        <v>25</v>
      </c>
      <c r="N225" s="5" t="s">
        <v>26</v>
      </c>
      <c r="O225" s="5" t="s">
        <v>21</v>
      </c>
      <c r="P225" s="5" t="s">
        <v>21</v>
      </c>
      <c r="Q225" s="5" t="s">
        <v>21</v>
      </c>
      <c r="R225" s="5" t="s">
        <v>21</v>
      </c>
      <c r="S225" s="5" t="s">
        <v>21</v>
      </c>
      <c r="T225" s="5" t="s">
        <v>4408</v>
      </c>
      <c r="U225" s="5" t="s">
        <v>4409</v>
      </c>
      <c r="V225" s="5" t="s">
        <v>4410</v>
      </c>
      <c r="W225" s="5" t="s">
        <v>4411</v>
      </c>
      <c r="X225" s="5" t="s">
        <v>4412</v>
      </c>
      <c r="Y225" s="5" t="s">
        <v>4413</v>
      </c>
      <c r="Z225" s="5" t="s">
        <v>4414</v>
      </c>
      <c r="AA225" s="5" t="s">
        <v>4415</v>
      </c>
      <c r="AB225" s="5" t="s">
        <v>4416</v>
      </c>
      <c r="AC225" s="5" t="s">
        <v>4417</v>
      </c>
      <c r="AD225" s="5" t="s">
        <v>4418</v>
      </c>
      <c r="AE225" s="5" t="s">
        <v>4419</v>
      </c>
      <c r="AF225" s="5">
        <v>58</v>
      </c>
      <c r="AG225" s="5">
        <v>7</v>
      </c>
      <c r="AH225" s="5">
        <v>8</v>
      </c>
      <c r="AI225" s="5">
        <v>26</v>
      </c>
      <c r="AJ225" s="5">
        <v>76</v>
      </c>
      <c r="AK225" s="5" t="s">
        <v>1319</v>
      </c>
      <c r="AL225" s="5" t="s">
        <v>1320</v>
      </c>
      <c r="AM225" s="5" t="s">
        <v>4420</v>
      </c>
      <c r="AN225" s="5" t="s">
        <v>4421</v>
      </c>
      <c r="AO225" s="5" t="s">
        <v>21</v>
      </c>
      <c r="AP225" s="5" t="s">
        <v>21</v>
      </c>
      <c r="AQ225" s="5" t="s">
        <v>4422</v>
      </c>
      <c r="AR225" s="5" t="s">
        <v>4423</v>
      </c>
      <c r="AS225" s="5" t="s">
        <v>4424</v>
      </c>
      <c r="AT225" s="5">
        <v>2023</v>
      </c>
      <c r="AU225" s="5">
        <v>25</v>
      </c>
      <c r="AV225" s="5" t="s">
        <v>21</v>
      </c>
      <c r="AW225" s="5" t="s">
        <v>21</v>
      </c>
      <c r="AX225" s="5" t="s">
        <v>21</v>
      </c>
      <c r="AY225" s="5" t="s">
        <v>21</v>
      </c>
      <c r="AZ225" s="5" t="s">
        <v>21</v>
      </c>
      <c r="BA225" s="5" t="s">
        <v>21</v>
      </c>
      <c r="BB225" s="5" t="s">
        <v>21</v>
      </c>
      <c r="BC225" s="5" t="s">
        <v>4425</v>
      </c>
      <c r="BD225" s="5" t="s">
        <v>4426</v>
      </c>
      <c r="BE225" s="5" t="str">
        <f>HYPERLINK("http://dx.doi.org/10.2196/45836","http://dx.doi.org/10.2196/45836")</f>
        <v>http://dx.doi.org/10.2196/45836</v>
      </c>
      <c r="BF225" s="5" t="s">
        <v>21</v>
      </c>
      <c r="BG225" s="5" t="s">
        <v>21</v>
      </c>
      <c r="BH225" s="5">
        <v>16</v>
      </c>
      <c r="BI225" s="5" t="s">
        <v>4427</v>
      </c>
      <c r="BJ225" s="5" t="s">
        <v>524</v>
      </c>
      <c r="BK225" s="5" t="s">
        <v>4427</v>
      </c>
      <c r="BL225" s="5" t="s">
        <v>4428</v>
      </c>
      <c r="BM225" s="5">
        <v>37616029</v>
      </c>
      <c r="BN225" s="5" t="s">
        <v>163</v>
      </c>
      <c r="BO225" s="5" t="s">
        <v>21</v>
      </c>
      <c r="BP225" s="5" t="s">
        <v>21</v>
      </c>
      <c r="BQ225" s="5" t="s">
        <v>49</v>
      </c>
      <c r="BR225" s="5" t="s">
        <v>4429</v>
      </c>
      <c r="BS225" s="5" t="str">
        <f>HYPERLINK("https%3A%2F%2Fwww.webofscience.com%2Fwos%2Fwoscc%2Ffull-record%2FWOS:001064943000005","View Full Record in Web of Science")</f>
        <v>View Full Record in Web of Science</v>
      </c>
    </row>
    <row r="226" spans="1:71" x14ac:dyDescent="0.25">
      <c r="A226" t="s">
        <v>19</v>
      </c>
      <c r="B226" s="5" t="s">
        <v>4430</v>
      </c>
      <c r="C226" s="5" t="s">
        <v>21</v>
      </c>
      <c r="D226" s="5" t="s">
        <v>21</v>
      </c>
      <c r="E226" s="5" t="s">
        <v>21</v>
      </c>
      <c r="F226" s="5" t="s">
        <v>4431</v>
      </c>
      <c r="G226" s="5" t="s">
        <v>21</v>
      </c>
      <c r="H226" s="5" t="s">
        <v>21</v>
      </c>
      <c r="I226" s="5" t="s">
        <v>4432</v>
      </c>
      <c r="J226" s="12" t="s">
        <v>183</v>
      </c>
      <c r="K226" s="5" t="s">
        <v>21</v>
      </c>
      <c r="L226" s="5" t="s">
        <v>21</v>
      </c>
      <c r="M226" s="5" t="s">
        <v>25</v>
      </c>
      <c r="N226" s="5" t="s">
        <v>76</v>
      </c>
      <c r="O226" s="5" t="s">
        <v>21</v>
      </c>
      <c r="P226" s="5" t="s">
        <v>21</v>
      </c>
      <c r="Q226" s="5" t="s">
        <v>21</v>
      </c>
      <c r="R226" s="5" t="s">
        <v>21</v>
      </c>
      <c r="S226" s="5" t="s">
        <v>21</v>
      </c>
      <c r="T226" s="5" t="s">
        <v>4433</v>
      </c>
      <c r="U226" s="5" t="s">
        <v>4434</v>
      </c>
      <c r="V226" s="5" t="s">
        <v>4435</v>
      </c>
      <c r="W226" s="5" t="s">
        <v>4436</v>
      </c>
      <c r="X226" s="5" t="s">
        <v>4437</v>
      </c>
      <c r="Y226" s="5" t="s">
        <v>4438</v>
      </c>
      <c r="Z226" s="5" t="s">
        <v>4439</v>
      </c>
      <c r="AA226" s="5" t="s">
        <v>4440</v>
      </c>
      <c r="AB226" s="5" t="s">
        <v>4441</v>
      </c>
      <c r="AC226" s="5" t="s">
        <v>21</v>
      </c>
      <c r="AD226" s="5" t="s">
        <v>21</v>
      </c>
      <c r="AE226" s="5" t="s">
        <v>21</v>
      </c>
      <c r="AF226" s="5">
        <v>82</v>
      </c>
      <c r="AG226" s="5">
        <v>7</v>
      </c>
      <c r="AH226" s="5">
        <v>7</v>
      </c>
      <c r="AI226" s="5">
        <v>4</v>
      </c>
      <c r="AJ226" s="5">
        <v>19</v>
      </c>
      <c r="AK226" s="5" t="s">
        <v>193</v>
      </c>
      <c r="AL226" s="5" t="s">
        <v>194</v>
      </c>
      <c r="AM226" s="5" t="s">
        <v>1413</v>
      </c>
      <c r="AN226" s="5" t="s">
        <v>21</v>
      </c>
      <c r="AO226" s="5" t="s">
        <v>196</v>
      </c>
      <c r="AP226" s="5" t="s">
        <v>21</v>
      </c>
      <c r="AQ226" s="5" t="s">
        <v>197</v>
      </c>
      <c r="AR226" s="5" t="s">
        <v>198</v>
      </c>
      <c r="AS226" s="5" t="s">
        <v>290</v>
      </c>
      <c r="AT226" s="5">
        <v>2023</v>
      </c>
      <c r="AU226" s="5">
        <v>23</v>
      </c>
      <c r="AV226" s="5">
        <v>14</v>
      </c>
      <c r="AW226" s="5" t="s">
        <v>21</v>
      </c>
      <c r="AX226" s="5" t="s">
        <v>21</v>
      </c>
      <c r="AY226" s="5" t="s">
        <v>21</v>
      </c>
      <c r="AZ226" s="5" t="s">
        <v>21</v>
      </c>
      <c r="BA226" s="5" t="s">
        <v>21</v>
      </c>
      <c r="BB226" s="5" t="s">
        <v>21</v>
      </c>
      <c r="BC226" s="5">
        <v>6260</v>
      </c>
      <c r="BD226" s="5" t="s">
        <v>4442</v>
      </c>
      <c r="BE226" s="5" t="str">
        <f>HYPERLINK("http://dx.doi.org/10.3390/s23146260","http://dx.doi.org/10.3390/s23146260")</f>
        <v>http://dx.doi.org/10.3390/s23146260</v>
      </c>
      <c r="BF226" s="5" t="s">
        <v>21</v>
      </c>
      <c r="BG226" s="5" t="s">
        <v>21</v>
      </c>
      <c r="BH226" s="5">
        <v>29</v>
      </c>
      <c r="BI226" s="5" t="s">
        <v>201</v>
      </c>
      <c r="BJ226" s="5" t="s">
        <v>524</v>
      </c>
      <c r="BK226" s="5" t="s">
        <v>202</v>
      </c>
      <c r="BL226" s="5" t="s">
        <v>4443</v>
      </c>
      <c r="BM226" s="5">
        <v>37514555</v>
      </c>
      <c r="BN226" s="5" t="s">
        <v>864</v>
      </c>
      <c r="BO226" s="5" t="s">
        <v>21</v>
      </c>
      <c r="BP226" s="5" t="s">
        <v>21</v>
      </c>
      <c r="BQ226" s="5" t="s">
        <v>49</v>
      </c>
      <c r="BR226" s="5" t="s">
        <v>4444</v>
      </c>
      <c r="BS226" s="5" t="str">
        <f>HYPERLINK("https%3A%2F%2Fwww.webofscience.com%2Fwos%2Fwoscc%2Ffull-record%2FWOS:001071425700001","View Full Record in Web of Science")</f>
        <v>View Full Record in Web of Science</v>
      </c>
    </row>
    <row r="227" spans="1:71" x14ac:dyDescent="0.25">
      <c r="A227" t="s">
        <v>19</v>
      </c>
      <c r="B227" s="5" t="s">
        <v>4445</v>
      </c>
      <c r="C227" s="5" t="s">
        <v>21</v>
      </c>
      <c r="D227" s="5" t="s">
        <v>21</v>
      </c>
      <c r="E227" s="5" t="s">
        <v>21</v>
      </c>
      <c r="F227" s="5" t="s">
        <v>4446</v>
      </c>
      <c r="G227" s="5" t="s">
        <v>21</v>
      </c>
      <c r="H227" s="5" t="s">
        <v>21</v>
      </c>
      <c r="I227" s="5" t="s">
        <v>4447</v>
      </c>
      <c r="J227" s="12" t="s">
        <v>646</v>
      </c>
      <c r="K227" s="5" t="s">
        <v>21</v>
      </c>
      <c r="L227" s="5" t="s">
        <v>21</v>
      </c>
      <c r="M227" s="5" t="s">
        <v>25</v>
      </c>
      <c r="N227" s="5" t="s">
        <v>26</v>
      </c>
      <c r="O227" s="5" t="s">
        <v>21</v>
      </c>
      <c r="P227" s="5" t="s">
        <v>21</v>
      </c>
      <c r="Q227" s="5" t="s">
        <v>21</v>
      </c>
      <c r="R227" s="5" t="s">
        <v>21</v>
      </c>
      <c r="S227" s="5" t="s">
        <v>21</v>
      </c>
      <c r="T227" s="5" t="s">
        <v>4448</v>
      </c>
      <c r="U227" s="5" t="s">
        <v>4449</v>
      </c>
      <c r="V227" s="5" t="s">
        <v>4450</v>
      </c>
      <c r="W227" s="5" t="s">
        <v>4451</v>
      </c>
      <c r="X227" s="5" t="s">
        <v>921</v>
      </c>
      <c r="Y227" s="5" t="s">
        <v>4452</v>
      </c>
      <c r="Z227" s="5" t="s">
        <v>4453</v>
      </c>
      <c r="AA227" s="5" t="s">
        <v>4454</v>
      </c>
      <c r="AB227" s="5" t="s">
        <v>4455</v>
      </c>
      <c r="AC227" s="5" t="s">
        <v>4456</v>
      </c>
      <c r="AD227" s="5" t="s">
        <v>4457</v>
      </c>
      <c r="AE227" s="5" t="s">
        <v>4458</v>
      </c>
      <c r="AF227" s="5">
        <v>64</v>
      </c>
      <c r="AG227" s="5">
        <v>7</v>
      </c>
      <c r="AH227" s="5">
        <v>7</v>
      </c>
      <c r="AI227" s="5">
        <v>5</v>
      </c>
      <c r="AJ227" s="5">
        <v>26</v>
      </c>
      <c r="AK227" s="5" t="s">
        <v>659</v>
      </c>
      <c r="AL227" s="5" t="s">
        <v>660</v>
      </c>
      <c r="AM227" s="5" t="s">
        <v>661</v>
      </c>
      <c r="AN227" s="5" t="s">
        <v>662</v>
      </c>
      <c r="AO227" s="5" t="s">
        <v>663</v>
      </c>
      <c r="AP227" s="5" t="s">
        <v>21</v>
      </c>
      <c r="AQ227" s="5" t="s">
        <v>664</v>
      </c>
      <c r="AR227" s="5" t="s">
        <v>665</v>
      </c>
      <c r="AS227" s="5" t="s">
        <v>21</v>
      </c>
      <c r="AT227" s="5">
        <v>2023</v>
      </c>
      <c r="AU227" s="5">
        <v>31</v>
      </c>
      <c r="AV227" s="5" t="s">
        <v>21</v>
      </c>
      <c r="AW227" s="5" t="s">
        <v>21</v>
      </c>
      <c r="AX227" s="5" t="s">
        <v>21</v>
      </c>
      <c r="AY227" s="5" t="s">
        <v>21</v>
      </c>
      <c r="AZ227" s="5" t="s">
        <v>21</v>
      </c>
      <c r="BA227" s="5">
        <v>2184</v>
      </c>
      <c r="BB227" s="5">
        <v>2194</v>
      </c>
      <c r="BC227" s="5" t="s">
        <v>21</v>
      </c>
      <c r="BD227" s="5" t="s">
        <v>4459</v>
      </c>
      <c r="BE227" s="5" t="str">
        <f>HYPERLINK("http://dx.doi.org/10.1109/TNSRE.2023.3271139","http://dx.doi.org/10.1109/TNSRE.2023.3271139")</f>
        <v>http://dx.doi.org/10.1109/TNSRE.2023.3271139</v>
      </c>
      <c r="BF227" s="5" t="s">
        <v>21</v>
      </c>
      <c r="BG227" s="5" t="s">
        <v>21</v>
      </c>
      <c r="BH227" s="5">
        <v>11</v>
      </c>
      <c r="BI227" s="5" t="s">
        <v>667</v>
      </c>
      <c r="BJ227" s="5" t="s">
        <v>524</v>
      </c>
      <c r="BK227" s="5" t="s">
        <v>668</v>
      </c>
      <c r="BL227" s="5" t="s">
        <v>4460</v>
      </c>
      <c r="BM227" s="5">
        <v>37104107</v>
      </c>
      <c r="BN227" s="5" t="s">
        <v>1909</v>
      </c>
      <c r="BO227" s="5" t="s">
        <v>21</v>
      </c>
      <c r="BP227" s="5" t="s">
        <v>21</v>
      </c>
      <c r="BQ227" s="5" t="s">
        <v>49</v>
      </c>
      <c r="BR227" s="5" t="s">
        <v>4461</v>
      </c>
      <c r="BS227" s="5" t="str">
        <f>HYPERLINK("https%3A%2F%2Fwww.webofscience.com%2Fwos%2Fwoscc%2Ffull-record%2FWOS:000982365200002","View Full Record in Web of Science")</f>
        <v>View Full Record in Web of Science</v>
      </c>
    </row>
    <row r="228" spans="1:71" x14ac:dyDescent="0.25">
      <c r="A228" t="s">
        <v>19</v>
      </c>
      <c r="B228" s="5" t="s">
        <v>4462</v>
      </c>
      <c r="C228" s="5" t="s">
        <v>21</v>
      </c>
      <c r="D228" s="5" t="s">
        <v>21</v>
      </c>
      <c r="E228" s="5" t="s">
        <v>21</v>
      </c>
      <c r="F228" s="5" t="s">
        <v>4463</v>
      </c>
      <c r="G228" s="5" t="s">
        <v>21</v>
      </c>
      <c r="H228" s="5" t="s">
        <v>21</v>
      </c>
      <c r="I228" s="5" t="s">
        <v>4464</v>
      </c>
      <c r="J228" s="12" t="s">
        <v>1955</v>
      </c>
      <c r="K228" s="5" t="s">
        <v>21</v>
      </c>
      <c r="L228" s="5" t="s">
        <v>21</v>
      </c>
      <c r="M228" s="5" t="s">
        <v>25</v>
      </c>
      <c r="N228" s="5" t="s">
        <v>26</v>
      </c>
      <c r="O228" s="5" t="s">
        <v>21</v>
      </c>
      <c r="P228" s="5" t="s">
        <v>21</v>
      </c>
      <c r="Q228" s="5" t="s">
        <v>21</v>
      </c>
      <c r="R228" s="5" t="s">
        <v>21</v>
      </c>
      <c r="S228" s="5" t="s">
        <v>21</v>
      </c>
      <c r="T228" s="5" t="s">
        <v>4465</v>
      </c>
      <c r="U228" s="5" t="s">
        <v>4466</v>
      </c>
      <c r="V228" s="5" t="s">
        <v>4467</v>
      </c>
      <c r="W228" s="5" t="s">
        <v>4468</v>
      </c>
      <c r="X228" s="5" t="s">
        <v>4469</v>
      </c>
      <c r="Y228" s="5" t="s">
        <v>4470</v>
      </c>
      <c r="Z228" s="5" t="s">
        <v>4471</v>
      </c>
      <c r="AA228" s="5" t="s">
        <v>4472</v>
      </c>
      <c r="AB228" s="5" t="s">
        <v>4473</v>
      </c>
      <c r="AC228" s="5" t="s">
        <v>4474</v>
      </c>
      <c r="AD228" s="5" t="s">
        <v>4475</v>
      </c>
      <c r="AE228" s="5" t="s">
        <v>4476</v>
      </c>
      <c r="AF228" s="5">
        <v>42</v>
      </c>
      <c r="AG228" s="5">
        <v>7</v>
      </c>
      <c r="AH228" s="5">
        <v>7</v>
      </c>
      <c r="AI228" s="5">
        <v>3</v>
      </c>
      <c r="AJ228" s="5">
        <v>17</v>
      </c>
      <c r="AK228" s="5" t="s">
        <v>1924</v>
      </c>
      <c r="AL228" s="5" t="s">
        <v>1925</v>
      </c>
      <c r="AM228" s="5" t="s">
        <v>1926</v>
      </c>
      <c r="AN228" s="5" t="s">
        <v>1966</v>
      </c>
      <c r="AO228" s="5" t="s">
        <v>1967</v>
      </c>
      <c r="AP228" s="5" t="s">
        <v>21</v>
      </c>
      <c r="AQ228" s="5" t="s">
        <v>1968</v>
      </c>
      <c r="AR228" s="5" t="s">
        <v>1969</v>
      </c>
      <c r="AS228" s="5" t="s">
        <v>42</v>
      </c>
      <c r="AT228" s="5">
        <v>2023</v>
      </c>
      <c r="AU228" s="5">
        <v>99</v>
      </c>
      <c r="AV228" s="5" t="s">
        <v>21</v>
      </c>
      <c r="AW228" s="5" t="s">
        <v>21</v>
      </c>
      <c r="AX228" s="5" t="s">
        <v>21</v>
      </c>
      <c r="AY228" s="5" t="s">
        <v>21</v>
      </c>
      <c r="AZ228" s="5" t="s">
        <v>21</v>
      </c>
      <c r="BA228" s="5">
        <v>76</v>
      </c>
      <c r="BB228" s="5">
        <v>82</v>
      </c>
      <c r="BC228" s="5" t="s">
        <v>21</v>
      </c>
      <c r="BD228" s="5" t="s">
        <v>4477</v>
      </c>
      <c r="BE228" s="5" t="str">
        <f>HYPERLINK("http://dx.doi.org/10.1016/j.gaitpost.2022.10.015","http://dx.doi.org/10.1016/j.gaitpost.2022.10.015")</f>
        <v>http://dx.doi.org/10.1016/j.gaitpost.2022.10.015</v>
      </c>
      <c r="BF228" s="5" t="s">
        <v>21</v>
      </c>
      <c r="BG228" s="5" t="s">
        <v>1849</v>
      </c>
      <c r="BH228" s="5">
        <v>7</v>
      </c>
      <c r="BI228" s="5" t="s">
        <v>1971</v>
      </c>
      <c r="BJ228" s="5" t="s">
        <v>524</v>
      </c>
      <c r="BK228" s="5" t="s">
        <v>1972</v>
      </c>
      <c r="BL228" s="5" t="s">
        <v>4478</v>
      </c>
      <c r="BM228" s="5">
        <v>36335658</v>
      </c>
      <c r="BN228" s="5" t="s">
        <v>4479</v>
      </c>
      <c r="BO228" s="5" t="s">
        <v>21</v>
      </c>
      <c r="BP228" s="5" t="s">
        <v>21</v>
      </c>
      <c r="BQ228" s="5" t="s">
        <v>49</v>
      </c>
      <c r="BR228" s="5" t="s">
        <v>4480</v>
      </c>
      <c r="BS228" s="5" t="str">
        <f>HYPERLINK("https%3A%2F%2Fwww.webofscience.com%2Fwos%2Fwoscc%2Ffull-record%2FWOS:000887098200005","View Full Record in Web of Science")</f>
        <v>View Full Record in Web of Science</v>
      </c>
    </row>
    <row r="229" spans="1:71" x14ac:dyDescent="0.25">
      <c r="A229" t="s">
        <v>19</v>
      </c>
      <c r="B229" s="5" t="s">
        <v>4481</v>
      </c>
      <c r="C229" s="5" t="s">
        <v>21</v>
      </c>
      <c r="D229" s="5" t="s">
        <v>21</v>
      </c>
      <c r="E229" s="5" t="s">
        <v>21</v>
      </c>
      <c r="F229" s="5" t="s">
        <v>4482</v>
      </c>
      <c r="G229" s="5" t="s">
        <v>21</v>
      </c>
      <c r="H229" s="5" t="s">
        <v>21</v>
      </c>
      <c r="I229" s="5" t="s">
        <v>4483</v>
      </c>
      <c r="J229" s="12" t="s">
        <v>3868</v>
      </c>
      <c r="K229" s="5" t="s">
        <v>21</v>
      </c>
      <c r="L229" s="5" t="s">
        <v>21</v>
      </c>
      <c r="M229" s="5" t="s">
        <v>25</v>
      </c>
      <c r="N229" s="5" t="s">
        <v>76</v>
      </c>
      <c r="O229" s="5" t="s">
        <v>21</v>
      </c>
      <c r="P229" s="5" t="s">
        <v>21</v>
      </c>
      <c r="Q229" s="5" t="s">
        <v>21</v>
      </c>
      <c r="R229" s="5" t="s">
        <v>21</v>
      </c>
      <c r="S229" s="5" t="s">
        <v>21</v>
      </c>
      <c r="T229" s="5" t="s">
        <v>4484</v>
      </c>
      <c r="U229" s="5" t="s">
        <v>4485</v>
      </c>
      <c r="V229" s="5" t="s">
        <v>4486</v>
      </c>
      <c r="W229" s="5" t="s">
        <v>4487</v>
      </c>
      <c r="X229" s="5" t="s">
        <v>4488</v>
      </c>
      <c r="Y229" s="5" t="s">
        <v>4489</v>
      </c>
      <c r="Z229" s="5" t="s">
        <v>4490</v>
      </c>
      <c r="AA229" s="5" t="s">
        <v>4491</v>
      </c>
      <c r="AB229" s="5" t="s">
        <v>4492</v>
      </c>
      <c r="AC229" s="5" t="s">
        <v>4493</v>
      </c>
      <c r="AD229" s="5" t="s">
        <v>4494</v>
      </c>
      <c r="AE229" s="5" t="s">
        <v>4495</v>
      </c>
      <c r="AF229" s="5">
        <v>96</v>
      </c>
      <c r="AG229" s="5">
        <v>7</v>
      </c>
      <c r="AH229" s="5">
        <v>8</v>
      </c>
      <c r="AI229" s="5">
        <v>1</v>
      </c>
      <c r="AJ229" s="5">
        <v>8</v>
      </c>
      <c r="AK229" s="5" t="s">
        <v>193</v>
      </c>
      <c r="AL229" s="5" t="s">
        <v>194</v>
      </c>
      <c r="AM229" s="5" t="s">
        <v>195</v>
      </c>
      <c r="AN229" s="5" t="s">
        <v>21</v>
      </c>
      <c r="AO229" s="5" t="s">
        <v>3878</v>
      </c>
      <c r="AP229" s="5" t="s">
        <v>21</v>
      </c>
      <c r="AQ229" s="5" t="s">
        <v>3879</v>
      </c>
      <c r="AR229" s="5" t="s">
        <v>3880</v>
      </c>
      <c r="AS229" s="5" t="s">
        <v>543</v>
      </c>
      <c r="AT229" s="5">
        <v>2022</v>
      </c>
      <c r="AU229" s="5">
        <v>12</v>
      </c>
      <c r="AV229" s="5">
        <v>11</v>
      </c>
      <c r="AW229" s="5" t="s">
        <v>21</v>
      </c>
      <c r="AX229" s="5" t="s">
        <v>21</v>
      </c>
      <c r="AY229" s="5" t="s">
        <v>21</v>
      </c>
      <c r="AZ229" s="5" t="s">
        <v>21</v>
      </c>
      <c r="BA229" s="5" t="s">
        <v>21</v>
      </c>
      <c r="BB229" s="5" t="s">
        <v>21</v>
      </c>
      <c r="BC229" s="5">
        <v>1478</v>
      </c>
      <c r="BD229" s="5" t="s">
        <v>4496</v>
      </c>
      <c r="BE229" s="5" t="str">
        <f>HYPERLINK("http://dx.doi.org/10.3390/brainsci12111478","http://dx.doi.org/10.3390/brainsci12111478")</f>
        <v>http://dx.doi.org/10.3390/brainsci12111478</v>
      </c>
      <c r="BF229" s="5" t="s">
        <v>21</v>
      </c>
      <c r="BG229" s="5" t="s">
        <v>21</v>
      </c>
      <c r="BH229" s="5">
        <v>19</v>
      </c>
      <c r="BI229" s="5" t="s">
        <v>1166</v>
      </c>
      <c r="BJ229" s="5" t="s">
        <v>524</v>
      </c>
      <c r="BK229" s="5" t="s">
        <v>1167</v>
      </c>
      <c r="BL229" s="5" t="s">
        <v>4497</v>
      </c>
      <c r="BM229" s="5">
        <v>36358404</v>
      </c>
      <c r="BN229" s="5" t="s">
        <v>864</v>
      </c>
      <c r="BO229" s="5" t="s">
        <v>21</v>
      </c>
      <c r="BP229" s="5" t="s">
        <v>21</v>
      </c>
      <c r="BQ229" s="5" t="s">
        <v>49</v>
      </c>
      <c r="BR229" s="5" t="s">
        <v>4498</v>
      </c>
      <c r="BS229" s="5" t="str">
        <f>HYPERLINK("https%3A%2F%2Fwww.webofscience.com%2Fwos%2Fwoscc%2Ffull-record%2FWOS:000894797800001","View Full Record in Web of Science")</f>
        <v>View Full Record in Web of Science</v>
      </c>
    </row>
    <row r="230" spans="1:71" x14ac:dyDescent="0.25">
      <c r="A230" t="s">
        <v>19</v>
      </c>
      <c r="B230" s="5" t="s">
        <v>4499</v>
      </c>
      <c r="C230" s="5" t="s">
        <v>21</v>
      </c>
      <c r="D230" s="5" t="s">
        <v>21</v>
      </c>
      <c r="E230" s="5" t="s">
        <v>21</v>
      </c>
      <c r="F230" s="5" t="s">
        <v>4500</v>
      </c>
      <c r="G230" s="5" t="s">
        <v>21</v>
      </c>
      <c r="H230" s="5" t="s">
        <v>21</v>
      </c>
      <c r="I230" s="5" t="s">
        <v>4501</v>
      </c>
      <c r="J230" s="12" t="s">
        <v>24</v>
      </c>
      <c r="K230" s="5" t="s">
        <v>21</v>
      </c>
      <c r="L230" s="5" t="s">
        <v>21</v>
      </c>
      <c r="M230" s="5" t="s">
        <v>25</v>
      </c>
      <c r="N230" s="5" t="s">
        <v>26</v>
      </c>
      <c r="O230" s="5" t="s">
        <v>21</v>
      </c>
      <c r="P230" s="5" t="s">
        <v>21</v>
      </c>
      <c r="Q230" s="5" t="s">
        <v>21</v>
      </c>
      <c r="R230" s="5" t="s">
        <v>21</v>
      </c>
      <c r="S230" s="5" t="s">
        <v>21</v>
      </c>
      <c r="T230" s="5" t="s">
        <v>4502</v>
      </c>
      <c r="U230" s="5" t="s">
        <v>4503</v>
      </c>
      <c r="V230" s="5" t="s">
        <v>4504</v>
      </c>
      <c r="W230" s="5" t="s">
        <v>4505</v>
      </c>
      <c r="X230" s="5" t="s">
        <v>4506</v>
      </c>
      <c r="Y230" s="5" t="s">
        <v>4507</v>
      </c>
      <c r="Z230" s="5" t="s">
        <v>4471</v>
      </c>
      <c r="AA230" s="5" t="s">
        <v>4508</v>
      </c>
      <c r="AB230" s="5" t="s">
        <v>4509</v>
      </c>
      <c r="AC230" s="5" t="s">
        <v>4510</v>
      </c>
      <c r="AD230" s="5" t="s">
        <v>4511</v>
      </c>
      <c r="AE230" s="5" t="s">
        <v>4512</v>
      </c>
      <c r="AF230" s="5">
        <v>78</v>
      </c>
      <c r="AG230" s="5">
        <v>7</v>
      </c>
      <c r="AH230" s="5">
        <v>7</v>
      </c>
      <c r="AI230" s="5">
        <v>4</v>
      </c>
      <c r="AJ230" s="5">
        <v>23</v>
      </c>
      <c r="AK230" s="5" t="s">
        <v>35</v>
      </c>
      <c r="AL230" s="5" t="s">
        <v>36</v>
      </c>
      <c r="AM230" s="5" t="s">
        <v>37</v>
      </c>
      <c r="AN230" s="5" t="s">
        <v>38</v>
      </c>
      <c r="AO230" s="5" t="s">
        <v>39</v>
      </c>
      <c r="AP230" s="5" t="s">
        <v>21</v>
      </c>
      <c r="AQ230" s="5" t="s">
        <v>40</v>
      </c>
      <c r="AR230" s="5" t="s">
        <v>41</v>
      </c>
      <c r="AS230" s="5" t="s">
        <v>290</v>
      </c>
      <c r="AT230" s="5">
        <v>2023</v>
      </c>
      <c r="AU230" s="5">
        <v>53</v>
      </c>
      <c r="AV230" s="5">
        <v>7</v>
      </c>
      <c r="AW230" s="5" t="s">
        <v>21</v>
      </c>
      <c r="AX230" s="5" t="s">
        <v>21</v>
      </c>
      <c r="AY230" s="5" t="s">
        <v>21</v>
      </c>
      <c r="AZ230" s="5" t="s">
        <v>21</v>
      </c>
      <c r="BA230" s="5">
        <v>2806</v>
      </c>
      <c r="BB230" s="5">
        <v>2817</v>
      </c>
      <c r="BC230" s="5" t="s">
        <v>21</v>
      </c>
      <c r="BD230" s="5" t="s">
        <v>4513</v>
      </c>
      <c r="BE230" s="5" t="str">
        <f>HYPERLINK("http://dx.doi.org/10.1007/s10803-022-05523-0","http://dx.doi.org/10.1007/s10803-022-05523-0")</f>
        <v>http://dx.doi.org/10.1007/s10803-022-05523-0</v>
      </c>
      <c r="BF230" s="5" t="s">
        <v>21</v>
      </c>
      <c r="BG230" s="5" t="s">
        <v>2713</v>
      </c>
      <c r="BH230" s="5">
        <v>12</v>
      </c>
      <c r="BI230" s="5" t="s">
        <v>44</v>
      </c>
      <c r="BJ230" s="5" t="s">
        <v>45</v>
      </c>
      <c r="BK230" s="5" t="s">
        <v>46</v>
      </c>
      <c r="BL230" s="5" t="s">
        <v>4514</v>
      </c>
      <c r="BM230" s="5">
        <v>35441912</v>
      </c>
      <c r="BN230" s="5" t="s">
        <v>137</v>
      </c>
      <c r="BO230" s="5" t="s">
        <v>21</v>
      </c>
      <c r="BP230" s="5" t="s">
        <v>21</v>
      </c>
      <c r="BQ230" s="5" t="s">
        <v>49</v>
      </c>
      <c r="BR230" s="5" t="s">
        <v>4515</v>
      </c>
      <c r="BS230" s="5" t="str">
        <f>HYPERLINK("https%3A%2F%2Fwww.webofscience.com%2Fwos%2Fwoscc%2Ffull-record%2FWOS:000784866500007","View Full Record in Web of Science")</f>
        <v>View Full Record in Web of Science</v>
      </c>
    </row>
    <row r="231" spans="1:71" x14ac:dyDescent="0.25">
      <c r="A231" t="s">
        <v>19</v>
      </c>
      <c r="B231" s="5" t="s">
        <v>4516</v>
      </c>
      <c r="C231" s="5" t="s">
        <v>21</v>
      </c>
      <c r="D231" s="5" t="s">
        <v>21</v>
      </c>
      <c r="E231" s="5" t="s">
        <v>21</v>
      </c>
      <c r="F231" s="5" t="s">
        <v>4517</v>
      </c>
      <c r="G231" s="5" t="s">
        <v>21</v>
      </c>
      <c r="H231" s="5" t="s">
        <v>21</v>
      </c>
      <c r="I231" s="5" t="s">
        <v>4518</v>
      </c>
      <c r="J231" s="12" t="s">
        <v>24</v>
      </c>
      <c r="K231" s="5" t="s">
        <v>21</v>
      </c>
      <c r="L231" s="5" t="s">
        <v>21</v>
      </c>
      <c r="M231" s="5" t="s">
        <v>25</v>
      </c>
      <c r="N231" s="5" t="s">
        <v>26</v>
      </c>
      <c r="O231" s="5" t="s">
        <v>21</v>
      </c>
      <c r="P231" s="5" t="s">
        <v>21</v>
      </c>
      <c r="Q231" s="5" t="s">
        <v>21</v>
      </c>
      <c r="R231" s="5" t="s">
        <v>21</v>
      </c>
      <c r="S231" s="5" t="s">
        <v>21</v>
      </c>
      <c r="T231" s="5" t="s">
        <v>4519</v>
      </c>
      <c r="U231" s="5" t="s">
        <v>4520</v>
      </c>
      <c r="V231" s="5" t="s">
        <v>4521</v>
      </c>
      <c r="W231" s="5" t="s">
        <v>4522</v>
      </c>
      <c r="X231" s="5" t="s">
        <v>4523</v>
      </c>
      <c r="Y231" s="5" t="s">
        <v>4524</v>
      </c>
      <c r="Z231" s="5" t="s">
        <v>4525</v>
      </c>
      <c r="AA231" s="5" t="s">
        <v>4526</v>
      </c>
      <c r="AB231" s="5" t="s">
        <v>4527</v>
      </c>
      <c r="AC231" s="5" t="s">
        <v>21</v>
      </c>
      <c r="AD231" s="5" t="s">
        <v>21</v>
      </c>
      <c r="AE231" s="5" t="s">
        <v>21</v>
      </c>
      <c r="AF231" s="5">
        <v>39</v>
      </c>
      <c r="AG231" s="5">
        <v>7</v>
      </c>
      <c r="AH231" s="5">
        <v>8</v>
      </c>
      <c r="AI231" s="5">
        <v>6</v>
      </c>
      <c r="AJ231" s="5">
        <v>24</v>
      </c>
      <c r="AK231" s="5" t="s">
        <v>35</v>
      </c>
      <c r="AL231" s="5" t="s">
        <v>36</v>
      </c>
      <c r="AM231" s="5" t="s">
        <v>37</v>
      </c>
      <c r="AN231" s="5" t="s">
        <v>38</v>
      </c>
      <c r="AO231" s="5" t="s">
        <v>39</v>
      </c>
      <c r="AP231" s="5" t="s">
        <v>21</v>
      </c>
      <c r="AQ231" s="5" t="s">
        <v>40</v>
      </c>
      <c r="AR231" s="5" t="s">
        <v>41</v>
      </c>
      <c r="AS231" s="5" t="s">
        <v>89</v>
      </c>
      <c r="AT231" s="5">
        <v>2023</v>
      </c>
      <c r="AU231" s="5">
        <v>53</v>
      </c>
      <c r="AV231" s="5">
        <v>6</v>
      </c>
      <c r="AW231" s="5" t="s">
        <v>21</v>
      </c>
      <c r="AX231" s="5" t="s">
        <v>21</v>
      </c>
      <c r="AY231" s="5" t="s">
        <v>21</v>
      </c>
      <c r="AZ231" s="5" t="s">
        <v>21</v>
      </c>
      <c r="BA231" s="5">
        <v>2349</v>
      </c>
      <c r="BB231" s="5">
        <v>2361</v>
      </c>
      <c r="BC231" s="5" t="s">
        <v>21</v>
      </c>
      <c r="BD231" s="5" t="s">
        <v>4528</v>
      </c>
      <c r="BE231" s="5" t="str">
        <f>HYPERLINK("http://dx.doi.org/10.1007/s10803-022-05525-y","http://dx.doi.org/10.1007/s10803-022-05525-y")</f>
        <v>http://dx.doi.org/10.1007/s10803-022-05525-y</v>
      </c>
      <c r="BF231" s="5" t="s">
        <v>21</v>
      </c>
      <c r="BG231" s="5" t="s">
        <v>3439</v>
      </c>
      <c r="BH231" s="5">
        <v>13</v>
      </c>
      <c r="BI231" s="5" t="s">
        <v>44</v>
      </c>
      <c r="BJ231" s="5" t="s">
        <v>45</v>
      </c>
      <c r="BK231" s="5" t="s">
        <v>46</v>
      </c>
      <c r="BL231" s="5" t="s">
        <v>4529</v>
      </c>
      <c r="BM231" s="5">
        <v>35305544</v>
      </c>
      <c r="BN231" s="5" t="s">
        <v>4530</v>
      </c>
      <c r="BO231" s="5" t="s">
        <v>21</v>
      </c>
      <c r="BP231" s="5" t="s">
        <v>21</v>
      </c>
      <c r="BQ231" s="5" t="s">
        <v>49</v>
      </c>
      <c r="BR231" s="5" t="s">
        <v>4531</v>
      </c>
      <c r="BS231" s="5" t="str">
        <f>HYPERLINK("https%3A%2F%2Fwww.webofscience.com%2Fwos%2Fwoscc%2Ffull-record%2FWOS:000770752700002","View Full Record in Web of Science")</f>
        <v>View Full Record in Web of Science</v>
      </c>
    </row>
    <row r="232" spans="1:71" x14ac:dyDescent="0.25">
      <c r="A232" t="s">
        <v>19</v>
      </c>
      <c r="B232" s="5" t="s">
        <v>4532</v>
      </c>
      <c r="C232" s="5" t="s">
        <v>21</v>
      </c>
      <c r="D232" s="5" t="s">
        <v>21</v>
      </c>
      <c r="E232" s="5" t="s">
        <v>21</v>
      </c>
      <c r="F232" s="5" t="s">
        <v>4533</v>
      </c>
      <c r="G232" s="5" t="s">
        <v>21</v>
      </c>
      <c r="H232" s="5" t="s">
        <v>21</v>
      </c>
      <c r="I232" s="5" t="s">
        <v>4534</v>
      </c>
      <c r="J232" s="12" t="s">
        <v>24</v>
      </c>
      <c r="K232" s="5" t="s">
        <v>21</v>
      </c>
      <c r="L232" s="5" t="s">
        <v>21</v>
      </c>
      <c r="M232" s="5" t="s">
        <v>25</v>
      </c>
      <c r="N232" s="5" t="s">
        <v>26</v>
      </c>
      <c r="O232" s="5" t="s">
        <v>21</v>
      </c>
      <c r="P232" s="5" t="s">
        <v>21</v>
      </c>
      <c r="Q232" s="5" t="s">
        <v>21</v>
      </c>
      <c r="R232" s="5" t="s">
        <v>21</v>
      </c>
      <c r="S232" s="5" t="s">
        <v>21</v>
      </c>
      <c r="T232" s="5" t="s">
        <v>4535</v>
      </c>
      <c r="U232" s="5" t="s">
        <v>4536</v>
      </c>
      <c r="V232" s="5" t="s">
        <v>4537</v>
      </c>
      <c r="W232" s="5" t="s">
        <v>4538</v>
      </c>
      <c r="X232" s="5" t="s">
        <v>4539</v>
      </c>
      <c r="Y232" s="5" t="s">
        <v>4540</v>
      </c>
      <c r="Z232" s="5" t="s">
        <v>4541</v>
      </c>
      <c r="AA232" s="5" t="s">
        <v>4542</v>
      </c>
      <c r="AB232" s="5" t="s">
        <v>4543</v>
      </c>
      <c r="AC232" s="5" t="s">
        <v>4544</v>
      </c>
      <c r="AD232" s="5" t="s">
        <v>4544</v>
      </c>
      <c r="AE232" s="5" t="s">
        <v>4545</v>
      </c>
      <c r="AF232" s="5">
        <v>115</v>
      </c>
      <c r="AG232" s="5">
        <v>7</v>
      </c>
      <c r="AH232" s="5">
        <v>7</v>
      </c>
      <c r="AI232" s="5">
        <v>3</v>
      </c>
      <c r="AJ232" s="5">
        <v>21</v>
      </c>
      <c r="AK232" s="5" t="s">
        <v>35</v>
      </c>
      <c r="AL232" s="5" t="s">
        <v>36</v>
      </c>
      <c r="AM232" s="5" t="s">
        <v>37</v>
      </c>
      <c r="AN232" s="5" t="s">
        <v>38</v>
      </c>
      <c r="AO232" s="5" t="s">
        <v>39</v>
      </c>
      <c r="AP232" s="5" t="s">
        <v>21</v>
      </c>
      <c r="AQ232" s="5" t="s">
        <v>40</v>
      </c>
      <c r="AR232" s="5" t="s">
        <v>41</v>
      </c>
      <c r="AS232" s="5" t="s">
        <v>69</v>
      </c>
      <c r="AT232" s="5">
        <v>2023</v>
      </c>
      <c r="AU232" s="5">
        <v>53</v>
      </c>
      <c r="AV232" s="5">
        <v>5</v>
      </c>
      <c r="AW232" s="5" t="s">
        <v>21</v>
      </c>
      <c r="AX232" s="5" t="s">
        <v>21</v>
      </c>
      <c r="AY232" s="5" t="s">
        <v>21</v>
      </c>
      <c r="AZ232" s="5" t="s">
        <v>21</v>
      </c>
      <c r="BA232" s="5">
        <v>2078</v>
      </c>
      <c r="BB232" s="5">
        <v>2111</v>
      </c>
      <c r="BC232" s="5" t="s">
        <v>21</v>
      </c>
      <c r="BD232" s="5" t="s">
        <v>4546</v>
      </c>
      <c r="BE232" s="5" t="str">
        <f>HYPERLINK("http://dx.doi.org/10.1007/s10803-022-05447-9","http://dx.doi.org/10.1007/s10803-022-05447-9")</f>
        <v>http://dx.doi.org/10.1007/s10803-022-05447-9</v>
      </c>
      <c r="BF232" s="5" t="s">
        <v>21</v>
      </c>
      <c r="BG232" s="5" t="s">
        <v>3439</v>
      </c>
      <c r="BH232" s="5">
        <v>34</v>
      </c>
      <c r="BI232" s="5" t="s">
        <v>44</v>
      </c>
      <c r="BJ232" s="5" t="s">
        <v>45</v>
      </c>
      <c r="BK232" s="5" t="s">
        <v>46</v>
      </c>
      <c r="BL232" s="5" t="s">
        <v>4547</v>
      </c>
      <c r="BM232" s="5">
        <v>35244836</v>
      </c>
      <c r="BN232" s="5" t="s">
        <v>21</v>
      </c>
      <c r="BO232" s="5" t="s">
        <v>21</v>
      </c>
      <c r="BP232" s="5" t="s">
        <v>21</v>
      </c>
      <c r="BQ232" s="5" t="s">
        <v>49</v>
      </c>
      <c r="BR232" s="5" t="s">
        <v>4548</v>
      </c>
      <c r="BS232" s="5" t="str">
        <f>HYPERLINK("https%3A%2F%2Fwww.webofscience.com%2Fwos%2Fwoscc%2Ffull-record%2FWOS:000764449200002","View Full Record in Web of Science")</f>
        <v>View Full Record in Web of Science</v>
      </c>
    </row>
    <row r="233" spans="1:71" x14ac:dyDescent="0.25">
      <c r="A233" t="s">
        <v>19</v>
      </c>
      <c r="B233" s="5" t="s">
        <v>4549</v>
      </c>
      <c r="C233" s="5" t="s">
        <v>21</v>
      </c>
      <c r="D233" s="5" t="s">
        <v>21</v>
      </c>
      <c r="E233" s="5" t="s">
        <v>21</v>
      </c>
      <c r="F233" s="5" t="s">
        <v>4550</v>
      </c>
      <c r="G233" s="5" t="s">
        <v>21</v>
      </c>
      <c r="H233" s="5" t="s">
        <v>21</v>
      </c>
      <c r="I233" s="5" t="s">
        <v>4551</v>
      </c>
      <c r="J233" s="12" t="s">
        <v>2149</v>
      </c>
      <c r="K233" s="5" t="s">
        <v>21</v>
      </c>
      <c r="L233" s="5" t="s">
        <v>21</v>
      </c>
      <c r="M233" s="5" t="s">
        <v>25</v>
      </c>
      <c r="N233" s="5" t="s">
        <v>76</v>
      </c>
      <c r="O233" s="5" t="s">
        <v>21</v>
      </c>
      <c r="P233" s="5" t="s">
        <v>21</v>
      </c>
      <c r="Q233" s="5" t="s">
        <v>21</v>
      </c>
      <c r="R233" s="5" t="s">
        <v>21</v>
      </c>
      <c r="S233" s="5" t="s">
        <v>21</v>
      </c>
      <c r="T233" s="5" t="s">
        <v>4552</v>
      </c>
      <c r="U233" s="5" t="s">
        <v>4553</v>
      </c>
      <c r="V233" s="5" t="s">
        <v>4554</v>
      </c>
      <c r="W233" s="5" t="s">
        <v>4555</v>
      </c>
      <c r="X233" s="5" t="s">
        <v>4556</v>
      </c>
      <c r="Y233" s="5" t="s">
        <v>4557</v>
      </c>
      <c r="Z233" s="5" t="s">
        <v>4558</v>
      </c>
      <c r="AA233" s="5" t="s">
        <v>4559</v>
      </c>
      <c r="AB233" s="5" t="s">
        <v>4560</v>
      </c>
      <c r="AC233" s="5" t="s">
        <v>4561</v>
      </c>
      <c r="AD233" s="5" t="s">
        <v>4562</v>
      </c>
      <c r="AE233" s="5" t="s">
        <v>3987</v>
      </c>
      <c r="AF233" s="5">
        <v>87</v>
      </c>
      <c r="AG233" s="5">
        <v>6</v>
      </c>
      <c r="AH233" s="5">
        <v>6</v>
      </c>
      <c r="AI233" s="5">
        <v>7</v>
      </c>
      <c r="AJ233" s="5">
        <v>23</v>
      </c>
      <c r="AK233" s="5" t="s">
        <v>193</v>
      </c>
      <c r="AL233" s="5" t="s">
        <v>194</v>
      </c>
      <c r="AM233" s="5" t="s">
        <v>195</v>
      </c>
      <c r="AN233" s="5" t="s">
        <v>21</v>
      </c>
      <c r="AO233" s="5" t="s">
        <v>2161</v>
      </c>
      <c r="AP233" s="5" t="s">
        <v>21</v>
      </c>
      <c r="AQ233" s="5" t="s">
        <v>2162</v>
      </c>
      <c r="AR233" s="5" t="s">
        <v>2163</v>
      </c>
      <c r="AS233" s="5" t="s">
        <v>782</v>
      </c>
      <c r="AT233" s="5">
        <v>2024</v>
      </c>
      <c r="AU233" s="5">
        <v>14</v>
      </c>
      <c r="AV233" s="5">
        <v>7</v>
      </c>
      <c r="AW233" s="5" t="s">
        <v>21</v>
      </c>
      <c r="AX233" s="5" t="s">
        <v>21</v>
      </c>
      <c r="AY233" s="5" t="s">
        <v>21</v>
      </c>
      <c r="AZ233" s="5" t="s">
        <v>21</v>
      </c>
      <c r="BA233" s="5" t="s">
        <v>21</v>
      </c>
      <c r="BB233" s="5" t="s">
        <v>21</v>
      </c>
      <c r="BC233" s="5">
        <v>3132</v>
      </c>
      <c r="BD233" s="5" t="s">
        <v>4563</v>
      </c>
      <c r="BE233" s="5" t="str">
        <f>HYPERLINK("http://dx.doi.org/10.3390/app14073132","http://dx.doi.org/10.3390/app14073132")</f>
        <v>http://dx.doi.org/10.3390/app14073132</v>
      </c>
      <c r="BF233" s="5" t="s">
        <v>21</v>
      </c>
      <c r="BG233" s="5" t="s">
        <v>21</v>
      </c>
      <c r="BH233" s="5">
        <v>20</v>
      </c>
      <c r="BI233" s="5" t="s">
        <v>2165</v>
      </c>
      <c r="BJ233" s="5" t="s">
        <v>524</v>
      </c>
      <c r="BK233" s="5" t="s">
        <v>2166</v>
      </c>
      <c r="BL233" s="5" t="s">
        <v>4564</v>
      </c>
      <c r="BM233" s="5" t="s">
        <v>21</v>
      </c>
      <c r="BN233" s="5" t="s">
        <v>1909</v>
      </c>
      <c r="BO233" s="5" t="s">
        <v>21</v>
      </c>
      <c r="BP233" s="5" t="s">
        <v>21</v>
      </c>
      <c r="BQ233" s="5" t="s">
        <v>49</v>
      </c>
      <c r="BR233" s="5" t="s">
        <v>4565</v>
      </c>
      <c r="BS233" s="5" t="str">
        <f>HYPERLINK("https%3A%2F%2Fwww.webofscience.com%2Fwos%2Fwoscc%2Ffull-record%2FWOS:001200966100001","View Full Record in Web of Science")</f>
        <v>View Full Record in Web of Science</v>
      </c>
    </row>
    <row r="234" spans="1:71" x14ac:dyDescent="0.25">
      <c r="A234" t="s">
        <v>19</v>
      </c>
      <c r="B234" s="5" t="s">
        <v>4566</v>
      </c>
      <c r="C234" s="5" t="s">
        <v>21</v>
      </c>
      <c r="D234" s="5" t="s">
        <v>21</v>
      </c>
      <c r="E234" s="5" t="s">
        <v>21</v>
      </c>
      <c r="F234" s="5" t="s">
        <v>4567</v>
      </c>
      <c r="G234" s="5" t="s">
        <v>21</v>
      </c>
      <c r="H234" s="5" t="s">
        <v>21</v>
      </c>
      <c r="I234" s="5" t="s">
        <v>4568</v>
      </c>
      <c r="J234" s="12" t="s">
        <v>4569</v>
      </c>
      <c r="K234" s="5" t="s">
        <v>21</v>
      </c>
      <c r="L234" s="5" t="s">
        <v>21</v>
      </c>
      <c r="M234" s="5" t="s">
        <v>25</v>
      </c>
      <c r="N234" s="5" t="s">
        <v>76</v>
      </c>
      <c r="O234" s="5" t="s">
        <v>21</v>
      </c>
      <c r="P234" s="5" t="s">
        <v>21</v>
      </c>
      <c r="Q234" s="5" t="s">
        <v>21</v>
      </c>
      <c r="R234" s="5" t="s">
        <v>21</v>
      </c>
      <c r="S234" s="5" t="s">
        <v>21</v>
      </c>
      <c r="T234" s="5" t="s">
        <v>4570</v>
      </c>
      <c r="U234" s="5" t="s">
        <v>4571</v>
      </c>
      <c r="V234" s="5" t="s">
        <v>4572</v>
      </c>
      <c r="W234" s="5" t="s">
        <v>4573</v>
      </c>
      <c r="X234" s="5" t="s">
        <v>4574</v>
      </c>
      <c r="Y234" s="5" t="s">
        <v>4575</v>
      </c>
      <c r="Z234" s="5" t="s">
        <v>4576</v>
      </c>
      <c r="AA234" s="5" t="s">
        <v>21</v>
      </c>
      <c r="AB234" s="5" t="s">
        <v>4577</v>
      </c>
      <c r="AC234" s="5" t="s">
        <v>21</v>
      </c>
      <c r="AD234" s="5" t="s">
        <v>21</v>
      </c>
      <c r="AE234" s="5" t="s">
        <v>21</v>
      </c>
      <c r="AF234" s="5">
        <v>49</v>
      </c>
      <c r="AG234" s="5">
        <v>6</v>
      </c>
      <c r="AH234" s="5">
        <v>6</v>
      </c>
      <c r="AI234" s="5">
        <v>7</v>
      </c>
      <c r="AJ234" s="5">
        <v>11</v>
      </c>
      <c r="AK234" s="5" t="s">
        <v>904</v>
      </c>
      <c r="AL234" s="5" t="s">
        <v>36</v>
      </c>
      <c r="AM234" s="5" t="s">
        <v>905</v>
      </c>
      <c r="AN234" s="5" t="s">
        <v>4578</v>
      </c>
      <c r="AO234" s="5" t="s">
        <v>4579</v>
      </c>
      <c r="AP234" s="5" t="s">
        <v>21</v>
      </c>
      <c r="AQ234" s="5" t="s">
        <v>4580</v>
      </c>
      <c r="AR234" s="5" t="s">
        <v>4581</v>
      </c>
      <c r="AS234" s="5" t="s">
        <v>69</v>
      </c>
      <c r="AT234" s="5">
        <v>2024</v>
      </c>
      <c r="AU234" s="5">
        <v>183</v>
      </c>
      <c r="AV234" s="5">
        <v>5</v>
      </c>
      <c r="AW234" s="5" t="s">
        <v>21</v>
      </c>
      <c r="AX234" s="5" t="s">
        <v>21</v>
      </c>
      <c r="AY234" s="5" t="s">
        <v>21</v>
      </c>
      <c r="AZ234" s="5" t="s">
        <v>21</v>
      </c>
      <c r="BA234" s="5">
        <v>2071</v>
      </c>
      <c r="BB234" s="5">
        <v>2090</v>
      </c>
      <c r="BC234" s="5" t="s">
        <v>21</v>
      </c>
      <c r="BD234" s="5" t="s">
        <v>4582</v>
      </c>
      <c r="BE234" s="5" t="str">
        <f>HYPERLINK("http://dx.doi.org/10.1007/s00431-024-05488-5","http://dx.doi.org/10.1007/s00431-024-05488-5")</f>
        <v>http://dx.doi.org/10.1007/s00431-024-05488-5</v>
      </c>
      <c r="BF234" s="5" t="s">
        <v>21</v>
      </c>
      <c r="BG234" s="5" t="s">
        <v>4583</v>
      </c>
      <c r="BH234" s="5">
        <v>20</v>
      </c>
      <c r="BI234" s="5" t="s">
        <v>1417</v>
      </c>
      <c r="BJ234" s="5" t="s">
        <v>524</v>
      </c>
      <c r="BK234" s="5" t="s">
        <v>1417</v>
      </c>
      <c r="BL234" s="5" t="s">
        <v>4584</v>
      </c>
      <c r="BM234" s="5">
        <v>38466416</v>
      </c>
      <c r="BN234" s="5" t="s">
        <v>21</v>
      </c>
      <c r="BO234" s="5" t="s">
        <v>21</v>
      </c>
      <c r="BP234" s="5" t="s">
        <v>21</v>
      </c>
      <c r="BQ234" s="5" t="s">
        <v>49</v>
      </c>
      <c r="BR234" s="5" t="s">
        <v>4585</v>
      </c>
      <c r="BS234" s="5" t="str">
        <f>HYPERLINK("https%3A%2F%2Fwww.webofscience.com%2Fwos%2Fwoscc%2Ffull-record%2FWOS:001180524200001","View Full Record in Web of Science")</f>
        <v>View Full Record in Web of Science</v>
      </c>
    </row>
    <row r="235" spans="1:71" x14ac:dyDescent="0.25">
      <c r="A235" t="s">
        <v>19</v>
      </c>
      <c r="B235" s="5" t="s">
        <v>4586</v>
      </c>
      <c r="C235" s="5" t="s">
        <v>21</v>
      </c>
      <c r="D235" s="5" t="s">
        <v>21</v>
      </c>
      <c r="E235" s="5" t="s">
        <v>21</v>
      </c>
      <c r="F235" s="5" t="s">
        <v>4587</v>
      </c>
      <c r="G235" s="5" t="s">
        <v>21</v>
      </c>
      <c r="H235" s="5" t="s">
        <v>21</v>
      </c>
      <c r="I235" s="5" t="s">
        <v>4588</v>
      </c>
      <c r="J235" s="12" t="s">
        <v>4589</v>
      </c>
      <c r="K235" s="5" t="s">
        <v>21</v>
      </c>
      <c r="L235" s="5" t="s">
        <v>21</v>
      </c>
      <c r="M235" s="5" t="s">
        <v>25</v>
      </c>
      <c r="N235" s="5" t="s">
        <v>26</v>
      </c>
      <c r="O235" s="5" t="s">
        <v>21</v>
      </c>
      <c r="P235" s="5" t="s">
        <v>21</v>
      </c>
      <c r="Q235" s="5" t="s">
        <v>21</v>
      </c>
      <c r="R235" s="5" t="s">
        <v>21</v>
      </c>
      <c r="S235" s="5" t="s">
        <v>21</v>
      </c>
      <c r="T235" s="5" t="s">
        <v>4590</v>
      </c>
      <c r="U235" s="5" t="s">
        <v>4591</v>
      </c>
      <c r="V235" s="5" t="s">
        <v>4592</v>
      </c>
      <c r="W235" s="5" t="s">
        <v>4593</v>
      </c>
      <c r="X235" s="5" t="s">
        <v>4594</v>
      </c>
      <c r="Y235" s="5" t="s">
        <v>4595</v>
      </c>
      <c r="Z235" s="5" t="s">
        <v>4596</v>
      </c>
      <c r="AA235" s="5" t="s">
        <v>4597</v>
      </c>
      <c r="AB235" s="5" t="s">
        <v>4598</v>
      </c>
      <c r="AC235" s="5" t="s">
        <v>4599</v>
      </c>
      <c r="AD235" s="5" t="s">
        <v>4599</v>
      </c>
      <c r="AE235" s="5" t="s">
        <v>4600</v>
      </c>
      <c r="AF235" s="5">
        <v>81</v>
      </c>
      <c r="AG235" s="5">
        <v>6</v>
      </c>
      <c r="AH235" s="5">
        <v>6</v>
      </c>
      <c r="AI235" s="5">
        <v>5</v>
      </c>
      <c r="AJ235" s="5">
        <v>11</v>
      </c>
      <c r="AK235" s="5" t="s">
        <v>4601</v>
      </c>
      <c r="AL235" s="5" t="s">
        <v>4602</v>
      </c>
      <c r="AM235" s="5" t="s">
        <v>4603</v>
      </c>
      <c r="AN235" s="5" t="s">
        <v>21</v>
      </c>
      <c r="AO235" s="5" t="s">
        <v>4604</v>
      </c>
      <c r="AP235" s="5" t="s">
        <v>21</v>
      </c>
      <c r="AQ235" s="5" t="s">
        <v>4605</v>
      </c>
      <c r="AR235" s="5" t="s">
        <v>4606</v>
      </c>
      <c r="AS235" s="5" t="s">
        <v>89</v>
      </c>
      <c r="AT235" s="5">
        <v>2023</v>
      </c>
      <c r="AU235" s="5">
        <v>7</v>
      </c>
      <c r="AV235" s="5">
        <v>1</v>
      </c>
      <c r="AW235" s="5" t="s">
        <v>21</v>
      </c>
      <c r="AX235" s="5" t="s">
        <v>21</v>
      </c>
      <c r="AY235" s="5" t="s">
        <v>21</v>
      </c>
      <c r="AZ235" s="5" t="s">
        <v>21</v>
      </c>
      <c r="BA235" s="5">
        <v>27</v>
      </c>
      <c r="BB235" s="5">
        <v>45</v>
      </c>
      <c r="BC235" s="5" t="s">
        <v>21</v>
      </c>
      <c r="BD235" s="5" t="s">
        <v>4607</v>
      </c>
      <c r="BE235" s="5" t="str">
        <f>HYPERLINK("http://dx.doi.org/10.1007/s41686-023-00077-5","http://dx.doi.org/10.1007/s41686-023-00077-5")</f>
        <v>http://dx.doi.org/10.1007/s41686-023-00077-5</v>
      </c>
      <c r="BF235" s="5" t="s">
        <v>21</v>
      </c>
      <c r="BG235" s="5" t="s">
        <v>4292</v>
      </c>
      <c r="BH235" s="5">
        <v>19</v>
      </c>
      <c r="BI235" s="5" t="s">
        <v>503</v>
      </c>
      <c r="BJ235" s="5" t="s">
        <v>1907</v>
      </c>
      <c r="BK235" s="5" t="s">
        <v>503</v>
      </c>
      <c r="BL235" s="5" t="s">
        <v>4608</v>
      </c>
      <c r="BM235" s="5">
        <v>37360548</v>
      </c>
      <c r="BN235" s="5" t="s">
        <v>385</v>
      </c>
      <c r="BO235" s="5" t="s">
        <v>21</v>
      </c>
      <c r="BP235" s="5" t="s">
        <v>21</v>
      </c>
      <c r="BQ235" s="5" t="s">
        <v>49</v>
      </c>
      <c r="BR235" s="5" t="s">
        <v>4609</v>
      </c>
      <c r="BS235" s="5" t="str">
        <f>HYPERLINK("https%3A%2F%2Fwww.webofscience.com%2Fwos%2Fwoscc%2Ffull-record%2FWOS:000990972400001","View Full Record in Web of Science")</f>
        <v>View Full Record in Web of Science</v>
      </c>
    </row>
    <row r="236" spans="1:71" x14ac:dyDescent="0.25">
      <c r="A236" t="s">
        <v>19</v>
      </c>
      <c r="B236" s="5" t="s">
        <v>4610</v>
      </c>
      <c r="C236" s="5" t="s">
        <v>21</v>
      </c>
      <c r="D236" s="5" t="s">
        <v>21</v>
      </c>
      <c r="E236" s="5" t="s">
        <v>21</v>
      </c>
      <c r="F236" s="5" t="s">
        <v>4611</v>
      </c>
      <c r="G236" s="5" t="s">
        <v>21</v>
      </c>
      <c r="H236" s="5" t="s">
        <v>21</v>
      </c>
      <c r="I236" s="5" t="s">
        <v>4612</v>
      </c>
      <c r="J236" s="12" t="s">
        <v>4613</v>
      </c>
      <c r="K236" s="5" t="s">
        <v>21</v>
      </c>
      <c r="L236" s="5" t="s">
        <v>21</v>
      </c>
      <c r="M236" s="5" t="s">
        <v>25</v>
      </c>
      <c r="N236" s="5" t="s">
        <v>26</v>
      </c>
      <c r="O236" s="5" t="s">
        <v>21</v>
      </c>
      <c r="P236" s="5" t="s">
        <v>21</v>
      </c>
      <c r="Q236" s="5" t="s">
        <v>21</v>
      </c>
      <c r="R236" s="5" t="s">
        <v>21</v>
      </c>
      <c r="S236" s="5" t="s">
        <v>21</v>
      </c>
      <c r="T236" s="5" t="s">
        <v>4614</v>
      </c>
      <c r="U236" s="5" t="s">
        <v>4615</v>
      </c>
      <c r="V236" s="5" t="s">
        <v>4616</v>
      </c>
      <c r="W236" s="5" t="s">
        <v>4617</v>
      </c>
      <c r="X236" s="5" t="s">
        <v>4618</v>
      </c>
      <c r="Y236" s="5" t="s">
        <v>4619</v>
      </c>
      <c r="Z236" s="5" t="s">
        <v>4620</v>
      </c>
      <c r="AA236" s="5" t="s">
        <v>4621</v>
      </c>
      <c r="AB236" s="5" t="s">
        <v>4622</v>
      </c>
      <c r="AC236" s="5" t="s">
        <v>4623</v>
      </c>
      <c r="AD236" s="5" t="s">
        <v>4624</v>
      </c>
      <c r="AE236" s="5" t="s">
        <v>4625</v>
      </c>
      <c r="AF236" s="5">
        <v>37</v>
      </c>
      <c r="AG236" s="5">
        <v>6</v>
      </c>
      <c r="AH236" s="5">
        <v>6</v>
      </c>
      <c r="AI236" s="5">
        <v>1</v>
      </c>
      <c r="AJ236" s="5">
        <v>8</v>
      </c>
      <c r="AK236" s="5" t="s">
        <v>4626</v>
      </c>
      <c r="AL236" s="5" t="s">
        <v>4627</v>
      </c>
      <c r="AM236" s="5" t="s">
        <v>4628</v>
      </c>
      <c r="AN236" s="5" t="s">
        <v>4629</v>
      </c>
      <c r="AO236" s="5" t="s">
        <v>4630</v>
      </c>
      <c r="AP236" s="5" t="s">
        <v>21</v>
      </c>
      <c r="AQ236" s="5" t="s">
        <v>4631</v>
      </c>
      <c r="AR236" s="5" t="s">
        <v>4632</v>
      </c>
      <c r="AS236" s="5" t="s">
        <v>21</v>
      </c>
      <c r="AT236" s="5">
        <v>2023</v>
      </c>
      <c r="AU236" s="5">
        <v>74</v>
      </c>
      <c r="AV236" s="5">
        <v>3</v>
      </c>
      <c r="AW236" s="5" t="s">
        <v>21</v>
      </c>
      <c r="AX236" s="5" t="s">
        <v>21</v>
      </c>
      <c r="AY236" s="5" t="s">
        <v>21</v>
      </c>
      <c r="AZ236" s="5" t="s">
        <v>21</v>
      </c>
      <c r="BA236" s="5">
        <v>171</v>
      </c>
      <c r="BB236" s="5">
        <v>185</v>
      </c>
      <c r="BC236" s="5" t="s">
        <v>21</v>
      </c>
      <c r="BD236" s="5" t="s">
        <v>4633</v>
      </c>
      <c r="BE236" s="5" t="str">
        <f>HYPERLINK("http://dx.doi.org/10.13075/mp.5893.01386","http://dx.doi.org/10.13075/mp.5893.01386")</f>
        <v>http://dx.doi.org/10.13075/mp.5893.01386</v>
      </c>
      <c r="BF236" s="5" t="s">
        <v>21</v>
      </c>
      <c r="BG236" s="5" t="s">
        <v>21</v>
      </c>
      <c r="BH236" s="5">
        <v>15</v>
      </c>
      <c r="BI236" s="5" t="s">
        <v>523</v>
      </c>
      <c r="BJ236" s="5" t="s">
        <v>524</v>
      </c>
      <c r="BK236" s="5" t="s">
        <v>523</v>
      </c>
      <c r="BL236" s="5" t="s">
        <v>4634</v>
      </c>
      <c r="BM236" s="5">
        <v>37695931</v>
      </c>
      <c r="BN236" s="5" t="s">
        <v>1909</v>
      </c>
      <c r="BO236" s="5" t="s">
        <v>21</v>
      </c>
      <c r="BP236" s="5" t="s">
        <v>21</v>
      </c>
      <c r="BQ236" s="5" t="s">
        <v>49</v>
      </c>
      <c r="BR236" s="5" t="s">
        <v>4635</v>
      </c>
      <c r="BS236" s="5" t="str">
        <f>HYPERLINK("https%3A%2F%2Fwww.webofscience.com%2Fwos%2Fwoscc%2Ffull-record%2FWOS:001071522800001","View Full Record in Web of Science")</f>
        <v>View Full Record in Web of Science</v>
      </c>
    </row>
    <row r="237" spans="1:71" x14ac:dyDescent="0.25">
      <c r="A237" t="s">
        <v>19</v>
      </c>
      <c r="B237" s="5" t="s">
        <v>4636</v>
      </c>
      <c r="C237" s="5" t="s">
        <v>21</v>
      </c>
      <c r="D237" s="5" t="s">
        <v>21</v>
      </c>
      <c r="E237" s="5" t="s">
        <v>21</v>
      </c>
      <c r="F237" s="5" t="s">
        <v>4637</v>
      </c>
      <c r="G237" s="5" t="s">
        <v>21</v>
      </c>
      <c r="H237" s="5" t="s">
        <v>21</v>
      </c>
      <c r="I237" s="5" t="s">
        <v>4638</v>
      </c>
      <c r="J237" s="12" t="s">
        <v>3868</v>
      </c>
      <c r="K237" s="5" t="s">
        <v>21</v>
      </c>
      <c r="L237" s="5" t="s">
        <v>21</v>
      </c>
      <c r="M237" s="5" t="s">
        <v>25</v>
      </c>
      <c r="N237" s="5" t="s">
        <v>26</v>
      </c>
      <c r="O237" s="5" t="s">
        <v>21</v>
      </c>
      <c r="P237" s="5" t="s">
        <v>21</v>
      </c>
      <c r="Q237" s="5" t="s">
        <v>21</v>
      </c>
      <c r="R237" s="5" t="s">
        <v>21</v>
      </c>
      <c r="S237" s="5" t="s">
        <v>21</v>
      </c>
      <c r="T237" s="5" t="s">
        <v>4639</v>
      </c>
      <c r="U237" s="5" t="s">
        <v>4640</v>
      </c>
      <c r="V237" s="5" t="s">
        <v>4641</v>
      </c>
      <c r="W237" s="5" t="s">
        <v>4642</v>
      </c>
      <c r="X237" s="5" t="s">
        <v>4643</v>
      </c>
      <c r="Y237" s="5" t="s">
        <v>4644</v>
      </c>
      <c r="Z237" s="5" t="s">
        <v>4645</v>
      </c>
      <c r="AA237" s="5" t="s">
        <v>4646</v>
      </c>
      <c r="AB237" s="5" t="s">
        <v>4647</v>
      </c>
      <c r="AC237" s="5" t="s">
        <v>4648</v>
      </c>
      <c r="AD237" s="5" t="s">
        <v>4649</v>
      </c>
      <c r="AE237" s="5" t="s">
        <v>4650</v>
      </c>
      <c r="AF237" s="5">
        <v>18</v>
      </c>
      <c r="AG237" s="5">
        <v>6</v>
      </c>
      <c r="AH237" s="5">
        <v>6</v>
      </c>
      <c r="AI237" s="5">
        <v>12</v>
      </c>
      <c r="AJ237" s="5">
        <v>39</v>
      </c>
      <c r="AK237" s="5" t="s">
        <v>193</v>
      </c>
      <c r="AL237" s="5" t="s">
        <v>194</v>
      </c>
      <c r="AM237" s="5" t="s">
        <v>195</v>
      </c>
      <c r="AN237" s="5" t="s">
        <v>21</v>
      </c>
      <c r="AO237" s="5" t="s">
        <v>3878</v>
      </c>
      <c r="AP237" s="5" t="s">
        <v>21</v>
      </c>
      <c r="AQ237" s="5" t="s">
        <v>3879</v>
      </c>
      <c r="AR237" s="5" t="s">
        <v>3880</v>
      </c>
      <c r="AS237" s="5" t="s">
        <v>543</v>
      </c>
      <c r="AT237" s="5">
        <v>2022</v>
      </c>
      <c r="AU237" s="5">
        <v>12</v>
      </c>
      <c r="AV237" s="5">
        <v>11</v>
      </c>
      <c r="AW237" s="5" t="s">
        <v>21</v>
      </c>
      <c r="AX237" s="5" t="s">
        <v>21</v>
      </c>
      <c r="AY237" s="5" t="s">
        <v>21</v>
      </c>
      <c r="AZ237" s="5" t="s">
        <v>21</v>
      </c>
      <c r="BA237" s="5" t="s">
        <v>21</v>
      </c>
      <c r="BB237" s="5" t="s">
        <v>21</v>
      </c>
      <c r="BC237" s="5">
        <v>1568</v>
      </c>
      <c r="BD237" s="5" t="s">
        <v>4651</v>
      </c>
      <c r="BE237" s="5" t="str">
        <f>HYPERLINK("http://dx.doi.org/10.3390/brainsci12111568","http://dx.doi.org/10.3390/brainsci12111568")</f>
        <v>http://dx.doi.org/10.3390/brainsci12111568</v>
      </c>
      <c r="BF237" s="5" t="s">
        <v>21</v>
      </c>
      <c r="BG237" s="5" t="s">
        <v>21</v>
      </c>
      <c r="BH237" s="5">
        <v>9</v>
      </c>
      <c r="BI237" s="5" t="s">
        <v>1166</v>
      </c>
      <c r="BJ237" s="5" t="s">
        <v>524</v>
      </c>
      <c r="BK237" s="5" t="s">
        <v>1167</v>
      </c>
      <c r="BL237" s="5" t="s">
        <v>4652</v>
      </c>
      <c r="BM237" s="5">
        <v>36421892</v>
      </c>
      <c r="BN237" s="5" t="s">
        <v>864</v>
      </c>
      <c r="BO237" s="5" t="s">
        <v>21</v>
      </c>
      <c r="BP237" s="5" t="s">
        <v>21</v>
      </c>
      <c r="BQ237" s="5" t="s">
        <v>49</v>
      </c>
      <c r="BR237" s="5" t="s">
        <v>4653</v>
      </c>
      <c r="BS237" s="5" t="str">
        <f>HYPERLINK("https%3A%2F%2Fwww.webofscience.com%2Fwos%2Fwoscc%2Ffull-record%2FWOS:000895149000001","View Full Record in Web of Science")</f>
        <v>View Full Record in Web of Science</v>
      </c>
    </row>
    <row r="238" spans="1:71" x14ac:dyDescent="0.25">
      <c r="A238" t="s">
        <v>19</v>
      </c>
      <c r="B238" s="5" t="s">
        <v>4654</v>
      </c>
      <c r="C238" s="5" t="s">
        <v>21</v>
      </c>
      <c r="D238" s="5" t="s">
        <v>21</v>
      </c>
      <c r="E238" s="5" t="s">
        <v>21</v>
      </c>
      <c r="F238" s="5" t="s">
        <v>4655</v>
      </c>
      <c r="G238" s="5" t="s">
        <v>21</v>
      </c>
      <c r="H238" s="5" t="s">
        <v>21</v>
      </c>
      <c r="I238" s="5" t="s">
        <v>4656</v>
      </c>
      <c r="J238" s="12" t="s">
        <v>1279</v>
      </c>
      <c r="K238" s="5" t="s">
        <v>21</v>
      </c>
      <c r="L238" s="5" t="s">
        <v>21</v>
      </c>
      <c r="M238" s="5" t="s">
        <v>25</v>
      </c>
      <c r="N238" s="5" t="s">
        <v>26</v>
      </c>
      <c r="O238" s="5" t="s">
        <v>21</v>
      </c>
      <c r="P238" s="5" t="s">
        <v>21</v>
      </c>
      <c r="Q238" s="5" t="s">
        <v>21</v>
      </c>
      <c r="R238" s="5" t="s">
        <v>21</v>
      </c>
      <c r="S238" s="5" t="s">
        <v>21</v>
      </c>
      <c r="T238" s="5" t="s">
        <v>4657</v>
      </c>
      <c r="U238" s="5" t="s">
        <v>4658</v>
      </c>
      <c r="V238" s="5" t="s">
        <v>4659</v>
      </c>
      <c r="W238" s="5" t="s">
        <v>4660</v>
      </c>
      <c r="X238" s="5" t="s">
        <v>4661</v>
      </c>
      <c r="Y238" s="5" t="s">
        <v>4662</v>
      </c>
      <c r="Z238" s="5" t="s">
        <v>4663</v>
      </c>
      <c r="AA238" s="5" t="s">
        <v>21</v>
      </c>
      <c r="AB238" s="5" t="s">
        <v>4664</v>
      </c>
      <c r="AC238" s="5" t="s">
        <v>4665</v>
      </c>
      <c r="AD238" s="5" t="s">
        <v>4665</v>
      </c>
      <c r="AE238" s="5" t="s">
        <v>4666</v>
      </c>
      <c r="AF238" s="5">
        <v>55</v>
      </c>
      <c r="AG238" s="5">
        <v>6</v>
      </c>
      <c r="AH238" s="5">
        <v>9</v>
      </c>
      <c r="AI238" s="5">
        <v>10</v>
      </c>
      <c r="AJ238" s="5">
        <v>46</v>
      </c>
      <c r="AK238" s="5" t="s">
        <v>1292</v>
      </c>
      <c r="AL238" s="5" t="s">
        <v>252</v>
      </c>
      <c r="AM238" s="5" t="s">
        <v>1293</v>
      </c>
      <c r="AN238" s="5" t="s">
        <v>1294</v>
      </c>
      <c r="AO238" s="5" t="s">
        <v>1295</v>
      </c>
      <c r="AP238" s="5" t="s">
        <v>21</v>
      </c>
      <c r="AQ238" s="5" t="s">
        <v>1296</v>
      </c>
      <c r="AR238" s="5" t="s">
        <v>1297</v>
      </c>
      <c r="AS238" s="5" t="s">
        <v>269</v>
      </c>
      <c r="AT238" s="5">
        <v>2022</v>
      </c>
      <c r="AU238" s="5">
        <v>15</v>
      </c>
      <c r="AV238" s="5">
        <v>12</v>
      </c>
      <c r="AW238" s="5" t="s">
        <v>21</v>
      </c>
      <c r="AX238" s="5" t="s">
        <v>21</v>
      </c>
      <c r="AY238" s="5" t="s">
        <v>21</v>
      </c>
      <c r="AZ238" s="5" t="s">
        <v>21</v>
      </c>
      <c r="BA238" s="5">
        <v>2310</v>
      </c>
      <c r="BB238" s="5">
        <v>2323</v>
      </c>
      <c r="BC238" s="5" t="s">
        <v>21</v>
      </c>
      <c r="BD238" s="5" t="s">
        <v>4667</v>
      </c>
      <c r="BE238" s="5" t="str">
        <f>HYPERLINK("http://dx.doi.org/10.1002/aur.2829","http://dx.doi.org/10.1002/aur.2829")</f>
        <v>http://dx.doi.org/10.1002/aur.2829</v>
      </c>
      <c r="BF238" s="5" t="s">
        <v>21</v>
      </c>
      <c r="BG238" s="5" t="s">
        <v>4668</v>
      </c>
      <c r="BH238" s="5">
        <v>14</v>
      </c>
      <c r="BI238" s="5" t="s">
        <v>1299</v>
      </c>
      <c r="BJ238" s="5" t="s">
        <v>92</v>
      </c>
      <c r="BK238" s="5" t="s">
        <v>1300</v>
      </c>
      <c r="BL238" s="5" t="s">
        <v>4669</v>
      </c>
      <c r="BM238" s="5">
        <v>36207799</v>
      </c>
      <c r="BN238" s="5" t="s">
        <v>970</v>
      </c>
      <c r="BO238" s="5" t="s">
        <v>21</v>
      </c>
      <c r="BP238" s="5" t="s">
        <v>21</v>
      </c>
      <c r="BQ238" s="5" t="s">
        <v>49</v>
      </c>
      <c r="BR238" s="5" t="s">
        <v>4670</v>
      </c>
      <c r="BS238" s="5" t="str">
        <f>HYPERLINK("https%3A%2F%2Fwww.webofscience.com%2Fwos%2Fwoscc%2Ffull-record%2FWOS:000864924400001","View Full Record in Web of Science")</f>
        <v>View Full Record in Web of Science</v>
      </c>
    </row>
    <row r="239" spans="1:71" x14ac:dyDescent="0.25">
      <c r="A239" t="s">
        <v>19</v>
      </c>
      <c r="B239" s="5" t="s">
        <v>2146</v>
      </c>
      <c r="C239" s="5" t="s">
        <v>21</v>
      </c>
      <c r="D239" s="5" t="s">
        <v>21</v>
      </c>
      <c r="E239" s="5" t="s">
        <v>21</v>
      </c>
      <c r="F239" s="5" t="s">
        <v>2147</v>
      </c>
      <c r="G239" s="5" t="s">
        <v>21</v>
      </c>
      <c r="H239" s="5" t="s">
        <v>21</v>
      </c>
      <c r="I239" s="5" t="s">
        <v>4671</v>
      </c>
      <c r="J239" s="12" t="s">
        <v>390</v>
      </c>
      <c r="K239" s="5" t="s">
        <v>21</v>
      </c>
      <c r="L239" s="5" t="s">
        <v>21</v>
      </c>
      <c r="M239" s="5" t="s">
        <v>25</v>
      </c>
      <c r="N239" s="5" t="s">
        <v>26</v>
      </c>
      <c r="O239" s="5" t="s">
        <v>21</v>
      </c>
      <c r="P239" s="5" t="s">
        <v>21</v>
      </c>
      <c r="Q239" s="5" t="s">
        <v>21</v>
      </c>
      <c r="R239" s="5" t="s">
        <v>21</v>
      </c>
      <c r="S239" s="5" t="s">
        <v>21</v>
      </c>
      <c r="T239" s="5" t="s">
        <v>2150</v>
      </c>
      <c r="U239" s="5" t="s">
        <v>4672</v>
      </c>
      <c r="V239" s="5" t="s">
        <v>4673</v>
      </c>
      <c r="W239" s="5" t="s">
        <v>4674</v>
      </c>
      <c r="X239" s="5" t="s">
        <v>4675</v>
      </c>
      <c r="Y239" s="5" t="s">
        <v>4676</v>
      </c>
      <c r="Z239" s="5" t="s">
        <v>4677</v>
      </c>
      <c r="AA239" s="5" t="s">
        <v>21</v>
      </c>
      <c r="AB239" s="5" t="s">
        <v>4678</v>
      </c>
      <c r="AC239" s="5" t="s">
        <v>2158</v>
      </c>
      <c r="AD239" s="5" t="s">
        <v>2159</v>
      </c>
      <c r="AE239" s="5" t="s">
        <v>2160</v>
      </c>
      <c r="AF239" s="5">
        <v>69</v>
      </c>
      <c r="AG239" s="5">
        <v>6</v>
      </c>
      <c r="AH239" s="5">
        <v>7</v>
      </c>
      <c r="AI239" s="5">
        <v>4</v>
      </c>
      <c r="AJ239" s="5">
        <v>20</v>
      </c>
      <c r="AK239" s="5" t="s">
        <v>193</v>
      </c>
      <c r="AL239" s="5" t="s">
        <v>194</v>
      </c>
      <c r="AM239" s="5" t="s">
        <v>1413</v>
      </c>
      <c r="AN239" s="5" t="s">
        <v>21</v>
      </c>
      <c r="AO239" s="5" t="s">
        <v>402</v>
      </c>
      <c r="AP239" s="5" t="s">
        <v>21</v>
      </c>
      <c r="AQ239" s="5" t="s">
        <v>403</v>
      </c>
      <c r="AR239" s="5" t="s">
        <v>404</v>
      </c>
      <c r="AS239" s="5" t="s">
        <v>134</v>
      </c>
      <c r="AT239" s="5">
        <v>2022</v>
      </c>
      <c r="AU239" s="5">
        <v>19</v>
      </c>
      <c r="AV239" s="5">
        <v>19</v>
      </c>
      <c r="AW239" s="5" t="s">
        <v>21</v>
      </c>
      <c r="AX239" s="5" t="s">
        <v>21</v>
      </c>
      <c r="AY239" s="5" t="s">
        <v>21</v>
      </c>
      <c r="AZ239" s="5" t="s">
        <v>21</v>
      </c>
      <c r="BA239" s="5" t="s">
        <v>21</v>
      </c>
      <c r="BB239" s="5" t="s">
        <v>21</v>
      </c>
      <c r="BC239" s="5">
        <v>12474</v>
      </c>
      <c r="BD239" s="5" t="s">
        <v>4679</v>
      </c>
      <c r="BE239" s="5" t="str">
        <f>HYPERLINK("http://dx.doi.org/10.3390/ijerph191912474","http://dx.doi.org/10.3390/ijerph191912474")</f>
        <v>http://dx.doi.org/10.3390/ijerph191912474</v>
      </c>
      <c r="BF239" s="5" t="s">
        <v>21</v>
      </c>
      <c r="BG239" s="5" t="s">
        <v>21</v>
      </c>
      <c r="BH239" s="5">
        <v>17</v>
      </c>
      <c r="BI239" s="5" t="s">
        <v>406</v>
      </c>
      <c r="BJ239" s="5" t="s">
        <v>92</v>
      </c>
      <c r="BK239" s="5" t="s">
        <v>407</v>
      </c>
      <c r="BL239" s="5" t="s">
        <v>4680</v>
      </c>
      <c r="BM239" s="5">
        <v>36231773</v>
      </c>
      <c r="BN239" s="5" t="s">
        <v>4681</v>
      </c>
      <c r="BO239" s="5" t="s">
        <v>21</v>
      </c>
      <c r="BP239" s="5" t="s">
        <v>21</v>
      </c>
      <c r="BQ239" s="5" t="s">
        <v>49</v>
      </c>
      <c r="BR239" s="5" t="s">
        <v>4682</v>
      </c>
      <c r="BS239" s="5" t="str">
        <f>HYPERLINK("https%3A%2F%2Fwww.webofscience.com%2Fwos%2Fwoscc%2Ffull-record%2FWOS:000868067500001","View Full Record in Web of Science")</f>
        <v>View Full Record in Web of Science</v>
      </c>
    </row>
    <row r="240" spans="1:71" x14ac:dyDescent="0.25">
      <c r="A240" t="s">
        <v>19</v>
      </c>
      <c r="B240" s="5" t="s">
        <v>4683</v>
      </c>
      <c r="C240" s="5" t="s">
        <v>21</v>
      </c>
      <c r="D240" s="5" t="s">
        <v>21</v>
      </c>
      <c r="E240" s="5" t="s">
        <v>21</v>
      </c>
      <c r="F240" s="5" t="s">
        <v>4684</v>
      </c>
      <c r="G240" s="5" t="s">
        <v>21</v>
      </c>
      <c r="H240" s="5" t="s">
        <v>21</v>
      </c>
      <c r="I240" s="5" t="s">
        <v>4685</v>
      </c>
      <c r="J240" s="12" t="s">
        <v>4686</v>
      </c>
      <c r="K240" s="5" t="s">
        <v>21</v>
      </c>
      <c r="L240" s="5" t="s">
        <v>21</v>
      </c>
      <c r="M240" s="5" t="s">
        <v>25</v>
      </c>
      <c r="N240" s="5" t="s">
        <v>26</v>
      </c>
      <c r="O240" s="5" t="s">
        <v>21</v>
      </c>
      <c r="P240" s="5" t="s">
        <v>21</v>
      </c>
      <c r="Q240" s="5" t="s">
        <v>21</v>
      </c>
      <c r="R240" s="5" t="s">
        <v>21</v>
      </c>
      <c r="S240" s="5" t="s">
        <v>21</v>
      </c>
      <c r="T240" s="5" t="s">
        <v>4687</v>
      </c>
      <c r="U240" s="5" t="s">
        <v>4688</v>
      </c>
      <c r="V240" s="5" t="s">
        <v>4689</v>
      </c>
      <c r="W240" s="5" t="s">
        <v>4690</v>
      </c>
      <c r="X240" s="5" t="s">
        <v>4691</v>
      </c>
      <c r="Y240" s="5" t="s">
        <v>4692</v>
      </c>
      <c r="Z240" s="5" t="s">
        <v>4693</v>
      </c>
      <c r="AA240" s="5" t="s">
        <v>4694</v>
      </c>
      <c r="AB240" s="5" t="s">
        <v>21</v>
      </c>
      <c r="AC240" s="5" t="s">
        <v>4695</v>
      </c>
      <c r="AD240" s="5" t="s">
        <v>4695</v>
      </c>
      <c r="AE240" s="5" t="s">
        <v>4696</v>
      </c>
      <c r="AF240" s="5">
        <v>45</v>
      </c>
      <c r="AG240" s="5">
        <v>6</v>
      </c>
      <c r="AH240" s="5">
        <v>7</v>
      </c>
      <c r="AI240" s="5">
        <v>7</v>
      </c>
      <c r="AJ240" s="5">
        <v>38</v>
      </c>
      <c r="AK240" s="5" t="s">
        <v>659</v>
      </c>
      <c r="AL240" s="5" t="s">
        <v>660</v>
      </c>
      <c r="AM240" s="5" t="s">
        <v>661</v>
      </c>
      <c r="AN240" s="5" t="s">
        <v>4697</v>
      </c>
      <c r="AO240" s="5" t="s">
        <v>4698</v>
      </c>
      <c r="AP240" s="5" t="s">
        <v>21</v>
      </c>
      <c r="AQ240" s="5" t="s">
        <v>4699</v>
      </c>
      <c r="AR240" s="5" t="s">
        <v>4700</v>
      </c>
      <c r="AS240" s="5" t="s">
        <v>134</v>
      </c>
      <c r="AT240" s="5">
        <v>2021</v>
      </c>
      <c r="AU240" s="5">
        <v>7</v>
      </c>
      <c r="AV240" s="5">
        <v>4</v>
      </c>
      <c r="AW240" s="5" t="s">
        <v>21</v>
      </c>
      <c r="AX240" s="5" t="s">
        <v>21</v>
      </c>
      <c r="AY240" s="5" t="s">
        <v>21</v>
      </c>
      <c r="AZ240" s="5" t="s">
        <v>21</v>
      </c>
      <c r="BA240" s="5">
        <v>4</v>
      </c>
      <c r="BB240" s="5">
        <v>12</v>
      </c>
      <c r="BC240" s="5" t="s">
        <v>21</v>
      </c>
      <c r="BD240" s="5" t="s">
        <v>4701</v>
      </c>
      <c r="BE240" s="5" t="str">
        <f>HYPERLINK("http://dx.doi.org/10.1109/MSMC.2021.3086989","http://dx.doi.org/10.1109/MSMC.2021.3086989")</f>
        <v>http://dx.doi.org/10.1109/MSMC.2021.3086989</v>
      </c>
      <c r="BF240" s="5" t="s">
        <v>21</v>
      </c>
      <c r="BG240" s="5" t="s">
        <v>21</v>
      </c>
      <c r="BH240" s="5">
        <v>9</v>
      </c>
      <c r="BI240" s="5" t="s">
        <v>4702</v>
      </c>
      <c r="BJ240" s="5" t="s">
        <v>1907</v>
      </c>
      <c r="BK240" s="5" t="s">
        <v>715</v>
      </c>
      <c r="BL240" s="5" t="s">
        <v>4703</v>
      </c>
      <c r="BM240" s="5" t="s">
        <v>21</v>
      </c>
      <c r="BN240" s="5" t="s">
        <v>4704</v>
      </c>
      <c r="BO240" s="5" t="s">
        <v>21</v>
      </c>
      <c r="BP240" s="5" t="s">
        <v>21</v>
      </c>
      <c r="BQ240" s="5" t="s">
        <v>49</v>
      </c>
      <c r="BR240" s="5" t="s">
        <v>4705</v>
      </c>
      <c r="BS240" s="5" t="str">
        <f>HYPERLINK("https%3A%2F%2Fwww.webofscience.com%2Fwos%2Fwoscc%2Ffull-record%2FWOS:000711703000007","View Full Record in Web of Science")</f>
        <v>View Full Record in Web of Science</v>
      </c>
    </row>
    <row r="241" spans="1:71" x14ac:dyDescent="0.25">
      <c r="A241" t="s">
        <v>19</v>
      </c>
      <c r="B241" s="5" t="s">
        <v>4706</v>
      </c>
      <c r="C241" s="5" t="s">
        <v>21</v>
      </c>
      <c r="D241" s="5" t="s">
        <v>21</v>
      </c>
      <c r="E241" s="5" t="s">
        <v>21</v>
      </c>
      <c r="F241" s="5" t="s">
        <v>4707</v>
      </c>
      <c r="G241" s="5" t="s">
        <v>21</v>
      </c>
      <c r="H241" s="5" t="s">
        <v>21</v>
      </c>
      <c r="I241" s="5" t="s">
        <v>4708</v>
      </c>
      <c r="J241" s="12" t="s">
        <v>4709</v>
      </c>
      <c r="K241" s="5" t="s">
        <v>21</v>
      </c>
      <c r="L241" s="5" t="s">
        <v>21</v>
      </c>
      <c r="M241" s="5" t="s">
        <v>25</v>
      </c>
      <c r="N241" s="5" t="s">
        <v>26</v>
      </c>
      <c r="O241" s="5" t="s">
        <v>21</v>
      </c>
      <c r="P241" s="5" t="s">
        <v>21</v>
      </c>
      <c r="Q241" s="5" t="s">
        <v>21</v>
      </c>
      <c r="R241" s="5" t="s">
        <v>21</v>
      </c>
      <c r="S241" s="5" t="s">
        <v>21</v>
      </c>
      <c r="T241" s="5" t="s">
        <v>4710</v>
      </c>
      <c r="U241" s="5" t="s">
        <v>21</v>
      </c>
      <c r="V241" s="5" t="s">
        <v>4711</v>
      </c>
      <c r="W241" s="5" t="s">
        <v>21</v>
      </c>
      <c r="X241" s="5" t="s">
        <v>21</v>
      </c>
      <c r="Y241" s="5" t="s">
        <v>21</v>
      </c>
      <c r="Z241" s="5" t="s">
        <v>4712</v>
      </c>
      <c r="AA241" s="5" t="s">
        <v>21</v>
      </c>
      <c r="AB241" s="5" t="s">
        <v>21</v>
      </c>
      <c r="AC241" s="5" t="s">
        <v>21</v>
      </c>
      <c r="AD241" s="5" t="s">
        <v>21</v>
      </c>
      <c r="AE241" s="5" t="s">
        <v>21</v>
      </c>
      <c r="AF241" s="5">
        <v>5</v>
      </c>
      <c r="AG241" s="5">
        <v>6</v>
      </c>
      <c r="AH241" s="5">
        <v>6</v>
      </c>
      <c r="AI241" s="5">
        <v>24</v>
      </c>
      <c r="AJ241" s="5">
        <v>104</v>
      </c>
      <c r="AK241" s="5" t="s">
        <v>659</v>
      </c>
      <c r="AL241" s="5" t="s">
        <v>660</v>
      </c>
      <c r="AM241" s="5" t="s">
        <v>661</v>
      </c>
      <c r="AN241" s="5" t="s">
        <v>4713</v>
      </c>
      <c r="AO241" s="5" t="s">
        <v>4714</v>
      </c>
      <c r="AP241" s="5" t="s">
        <v>21</v>
      </c>
      <c r="AQ241" s="5" t="s">
        <v>4709</v>
      </c>
      <c r="AR241" s="5" t="s">
        <v>4715</v>
      </c>
      <c r="AS241" s="5" t="s">
        <v>116</v>
      </c>
      <c r="AT241" s="5">
        <v>2021</v>
      </c>
      <c r="AU241" s="5">
        <v>12</v>
      </c>
      <c r="AV241" s="5">
        <v>5</v>
      </c>
      <c r="AW241" s="5" t="s">
        <v>21</v>
      </c>
      <c r="AX241" s="5" t="s">
        <v>21</v>
      </c>
      <c r="AY241" s="5" t="s">
        <v>21</v>
      </c>
      <c r="AZ241" s="5" t="s">
        <v>21</v>
      </c>
      <c r="BA241" s="5">
        <v>6</v>
      </c>
      <c r="BB241" s="5">
        <v>10</v>
      </c>
      <c r="BC241" s="5" t="s">
        <v>21</v>
      </c>
      <c r="BD241" s="5" t="s">
        <v>4716</v>
      </c>
      <c r="BE241" s="5" t="str">
        <f>HYPERLINK("http://dx.doi.org/10.1109/MPULS.2021.3113092","http://dx.doi.org/10.1109/MPULS.2021.3113092")</f>
        <v>http://dx.doi.org/10.1109/MPULS.2021.3113092</v>
      </c>
      <c r="BF241" s="5" t="s">
        <v>21</v>
      </c>
      <c r="BG241" s="5" t="s">
        <v>21</v>
      </c>
      <c r="BH241" s="5">
        <v>5</v>
      </c>
      <c r="BI241" s="5" t="s">
        <v>933</v>
      </c>
      <c r="BJ241" s="5" t="s">
        <v>524</v>
      </c>
      <c r="BK241" s="5" t="s">
        <v>934</v>
      </c>
      <c r="BL241" s="5" t="s">
        <v>4717</v>
      </c>
      <c r="BM241" s="5">
        <v>34714733</v>
      </c>
      <c r="BN241" s="5" t="s">
        <v>95</v>
      </c>
      <c r="BO241" s="5" t="s">
        <v>21</v>
      </c>
      <c r="BP241" s="5" t="s">
        <v>21</v>
      </c>
      <c r="BQ241" s="5" t="s">
        <v>49</v>
      </c>
      <c r="BR241" s="5" t="s">
        <v>4718</v>
      </c>
      <c r="BS241" s="5" t="str">
        <f>HYPERLINK("https%3A%2F%2Fwww.webofscience.com%2Fwos%2Fwoscc%2Ffull-record%2FWOS:000712561100006","View Full Record in Web of Science")</f>
        <v>View Full Record in Web of Science</v>
      </c>
    </row>
    <row r="242" spans="1:71" x14ac:dyDescent="0.25">
      <c r="A242" t="s">
        <v>19</v>
      </c>
      <c r="B242" s="5" t="s">
        <v>4719</v>
      </c>
      <c r="C242" s="5" t="s">
        <v>21</v>
      </c>
      <c r="D242" s="5" t="s">
        <v>21</v>
      </c>
      <c r="E242" s="5" t="s">
        <v>21</v>
      </c>
      <c r="F242" s="5" t="s">
        <v>4720</v>
      </c>
      <c r="G242" s="5" t="s">
        <v>21</v>
      </c>
      <c r="H242" s="5" t="s">
        <v>21</v>
      </c>
      <c r="I242" s="5" t="s">
        <v>4721</v>
      </c>
      <c r="J242" s="12" t="s">
        <v>2329</v>
      </c>
      <c r="K242" s="5" t="s">
        <v>21</v>
      </c>
      <c r="L242" s="5" t="s">
        <v>21</v>
      </c>
      <c r="M242" s="5" t="s">
        <v>25</v>
      </c>
      <c r="N242" s="5" t="s">
        <v>76</v>
      </c>
      <c r="O242" s="5" t="s">
        <v>21</v>
      </c>
      <c r="P242" s="5" t="s">
        <v>21</v>
      </c>
      <c r="Q242" s="5" t="s">
        <v>21</v>
      </c>
      <c r="R242" s="5" t="s">
        <v>21</v>
      </c>
      <c r="S242" s="5" t="s">
        <v>21</v>
      </c>
      <c r="T242" s="5" t="s">
        <v>4722</v>
      </c>
      <c r="U242" s="5" t="s">
        <v>4723</v>
      </c>
      <c r="V242" s="5" t="s">
        <v>4724</v>
      </c>
      <c r="W242" s="5" t="s">
        <v>4725</v>
      </c>
      <c r="X242" s="5" t="s">
        <v>4726</v>
      </c>
      <c r="Y242" s="5" t="s">
        <v>4727</v>
      </c>
      <c r="Z242" s="5" t="s">
        <v>4728</v>
      </c>
      <c r="AA242" s="5" t="s">
        <v>4729</v>
      </c>
      <c r="AB242" s="5" t="s">
        <v>4730</v>
      </c>
      <c r="AC242" s="5" t="s">
        <v>4234</v>
      </c>
      <c r="AD242" s="5" t="s">
        <v>4234</v>
      </c>
      <c r="AE242" s="5" t="s">
        <v>4731</v>
      </c>
      <c r="AF242" s="5">
        <v>94</v>
      </c>
      <c r="AG242" s="5">
        <v>6</v>
      </c>
      <c r="AH242" s="5">
        <v>6</v>
      </c>
      <c r="AI242" s="5">
        <v>2</v>
      </c>
      <c r="AJ242" s="5">
        <v>42</v>
      </c>
      <c r="AK242" s="5" t="s">
        <v>153</v>
      </c>
      <c r="AL242" s="5" t="s">
        <v>154</v>
      </c>
      <c r="AM242" s="5" t="s">
        <v>155</v>
      </c>
      <c r="AN242" s="5" t="s">
        <v>2342</v>
      </c>
      <c r="AO242" s="5" t="s">
        <v>21</v>
      </c>
      <c r="AP242" s="5" t="s">
        <v>21</v>
      </c>
      <c r="AQ242" s="5" t="s">
        <v>2343</v>
      </c>
      <c r="AR242" s="5" t="s">
        <v>2344</v>
      </c>
      <c r="AS242" s="5" t="s">
        <v>4732</v>
      </c>
      <c r="AT242" s="5">
        <v>2021</v>
      </c>
      <c r="AU242" s="5">
        <v>12</v>
      </c>
      <c r="AV242" s="5" t="s">
        <v>21</v>
      </c>
      <c r="AW242" s="5" t="s">
        <v>21</v>
      </c>
      <c r="AX242" s="5" t="s">
        <v>21</v>
      </c>
      <c r="AY242" s="5" t="s">
        <v>21</v>
      </c>
      <c r="AZ242" s="5" t="s">
        <v>21</v>
      </c>
      <c r="BA242" s="5" t="s">
        <v>21</v>
      </c>
      <c r="BB242" s="5" t="s">
        <v>21</v>
      </c>
      <c r="BC242" s="5">
        <v>708229</v>
      </c>
      <c r="BD242" s="5" t="s">
        <v>4733</v>
      </c>
      <c r="BE242" s="5" t="str">
        <f>HYPERLINK("http://dx.doi.org/10.3389/fpsyg.2021.708229","http://dx.doi.org/10.3389/fpsyg.2021.708229")</f>
        <v>http://dx.doi.org/10.3389/fpsyg.2021.708229</v>
      </c>
      <c r="BF242" s="5" t="s">
        <v>21</v>
      </c>
      <c r="BG242" s="5" t="s">
        <v>21</v>
      </c>
      <c r="BH242" s="5">
        <v>9</v>
      </c>
      <c r="BI242" s="5" t="s">
        <v>825</v>
      </c>
      <c r="BJ242" s="5" t="s">
        <v>45</v>
      </c>
      <c r="BK242" s="5" t="s">
        <v>46</v>
      </c>
      <c r="BL242" s="5" t="s">
        <v>4734</v>
      </c>
      <c r="BM242" s="5">
        <v>34322072</v>
      </c>
      <c r="BN242" s="5" t="s">
        <v>864</v>
      </c>
      <c r="BO242" s="5" t="s">
        <v>21</v>
      </c>
      <c r="BP242" s="5" t="s">
        <v>21</v>
      </c>
      <c r="BQ242" s="5" t="s">
        <v>49</v>
      </c>
      <c r="BR242" s="5" t="s">
        <v>4735</v>
      </c>
      <c r="BS242" s="5" t="str">
        <f>HYPERLINK("https%3A%2F%2Fwww.webofscience.com%2Fwos%2Fwoscc%2Ffull-record%2FWOS:000678088700001","View Full Record in Web of Science")</f>
        <v>View Full Record in Web of Science</v>
      </c>
    </row>
    <row r="243" spans="1:71" x14ac:dyDescent="0.25">
      <c r="A243" t="s">
        <v>19</v>
      </c>
      <c r="B243" s="5" t="s">
        <v>4736</v>
      </c>
      <c r="C243" s="5" t="s">
        <v>21</v>
      </c>
      <c r="D243" s="5" t="s">
        <v>21</v>
      </c>
      <c r="E243" s="5" t="s">
        <v>21</v>
      </c>
      <c r="F243" s="5" t="s">
        <v>4737</v>
      </c>
      <c r="G243" s="5" t="s">
        <v>21</v>
      </c>
      <c r="H243" s="5" t="s">
        <v>21</v>
      </c>
      <c r="I243" s="5" t="s">
        <v>4738</v>
      </c>
      <c r="J243" s="12" t="s">
        <v>1013</v>
      </c>
      <c r="K243" s="5" t="s">
        <v>21</v>
      </c>
      <c r="L243" s="5" t="s">
        <v>21</v>
      </c>
      <c r="M243" s="5" t="s">
        <v>25</v>
      </c>
      <c r="N243" s="5" t="s">
        <v>26</v>
      </c>
      <c r="O243" s="5" t="s">
        <v>21</v>
      </c>
      <c r="P243" s="5" t="s">
        <v>21</v>
      </c>
      <c r="Q243" s="5" t="s">
        <v>21</v>
      </c>
      <c r="R243" s="5" t="s">
        <v>21</v>
      </c>
      <c r="S243" s="5" t="s">
        <v>21</v>
      </c>
      <c r="T243" s="5" t="s">
        <v>4739</v>
      </c>
      <c r="U243" s="5" t="s">
        <v>4740</v>
      </c>
      <c r="V243" s="5" t="s">
        <v>4741</v>
      </c>
      <c r="W243" s="5" t="s">
        <v>4742</v>
      </c>
      <c r="X243" s="5" t="s">
        <v>4743</v>
      </c>
      <c r="Y243" s="5" t="s">
        <v>4744</v>
      </c>
      <c r="Z243" s="5" t="s">
        <v>4745</v>
      </c>
      <c r="AA243" s="5" t="s">
        <v>21</v>
      </c>
      <c r="AB243" s="5" t="s">
        <v>21</v>
      </c>
      <c r="AC243" s="5" t="s">
        <v>21</v>
      </c>
      <c r="AD243" s="5" t="s">
        <v>21</v>
      </c>
      <c r="AE243" s="5" t="s">
        <v>21</v>
      </c>
      <c r="AF243" s="5">
        <v>47</v>
      </c>
      <c r="AG243" s="5">
        <v>6</v>
      </c>
      <c r="AH243" s="5">
        <v>8</v>
      </c>
      <c r="AI243" s="5">
        <v>0</v>
      </c>
      <c r="AJ243" s="5">
        <v>16</v>
      </c>
      <c r="AK243" s="5" t="s">
        <v>349</v>
      </c>
      <c r="AL243" s="5" t="s">
        <v>350</v>
      </c>
      <c r="AM243" s="5" t="s">
        <v>351</v>
      </c>
      <c r="AN243" s="5" t="s">
        <v>1019</v>
      </c>
      <c r="AO243" s="5" t="s">
        <v>1020</v>
      </c>
      <c r="AP243" s="5" t="s">
        <v>21</v>
      </c>
      <c r="AQ243" s="5" t="s">
        <v>1021</v>
      </c>
      <c r="AR243" s="5" t="s">
        <v>1022</v>
      </c>
      <c r="AS243" s="5" t="s">
        <v>1023</v>
      </c>
      <c r="AT243" s="5">
        <v>2020</v>
      </c>
      <c r="AU243" s="5">
        <v>23</v>
      </c>
      <c r="AV243" s="5">
        <v>1</v>
      </c>
      <c r="AW243" s="5" t="s">
        <v>21</v>
      </c>
      <c r="AX243" s="5" t="s">
        <v>21</v>
      </c>
      <c r="AY243" s="5" t="s">
        <v>21</v>
      </c>
      <c r="AZ243" s="5" t="s">
        <v>21</v>
      </c>
      <c r="BA243" s="5">
        <v>34</v>
      </c>
      <c r="BB243" s="5">
        <v>40</v>
      </c>
      <c r="BC243" s="5" t="s">
        <v>21</v>
      </c>
      <c r="BD243" s="5" t="s">
        <v>4746</v>
      </c>
      <c r="BE243" s="5" t="str">
        <f>HYPERLINK("http://dx.doi.org/10.1089/cyber.2019.0111","http://dx.doi.org/10.1089/cyber.2019.0111")</f>
        <v>http://dx.doi.org/10.1089/cyber.2019.0111</v>
      </c>
      <c r="BF243" s="5" t="s">
        <v>21</v>
      </c>
      <c r="BG243" s="5" t="s">
        <v>4747</v>
      </c>
      <c r="BH243" s="5">
        <v>7</v>
      </c>
      <c r="BI243" s="5" t="s">
        <v>1026</v>
      </c>
      <c r="BJ243" s="5" t="s">
        <v>45</v>
      </c>
      <c r="BK243" s="5" t="s">
        <v>46</v>
      </c>
      <c r="BL243" s="5" t="s">
        <v>1027</v>
      </c>
      <c r="BM243" s="5">
        <v>31692369</v>
      </c>
      <c r="BN243" s="5" t="s">
        <v>95</v>
      </c>
      <c r="BO243" s="5" t="s">
        <v>21</v>
      </c>
      <c r="BP243" s="5" t="s">
        <v>21</v>
      </c>
      <c r="BQ243" s="5" t="s">
        <v>49</v>
      </c>
      <c r="BR243" s="5" t="s">
        <v>4748</v>
      </c>
      <c r="BS243" s="5" t="str">
        <f>HYPERLINK("https%3A%2F%2Fwww.webofscience.com%2Fwos%2Fwoscc%2Ffull-record%2FWOS:000494678700001","View Full Record in Web of Science")</f>
        <v>View Full Record in Web of Science</v>
      </c>
    </row>
    <row r="244" spans="1:71" x14ac:dyDescent="0.25">
      <c r="A244" t="s">
        <v>19</v>
      </c>
      <c r="B244" s="5" t="s">
        <v>4749</v>
      </c>
      <c r="C244" s="5" t="s">
        <v>21</v>
      </c>
      <c r="D244" s="5" t="s">
        <v>21</v>
      </c>
      <c r="E244" s="5" t="s">
        <v>21</v>
      </c>
      <c r="F244" s="5" t="s">
        <v>4750</v>
      </c>
      <c r="G244" s="5" t="s">
        <v>21</v>
      </c>
      <c r="H244" s="5" t="s">
        <v>21</v>
      </c>
      <c r="I244" s="5" t="s">
        <v>4751</v>
      </c>
      <c r="J244" s="12" t="s">
        <v>2128</v>
      </c>
      <c r="K244" s="5" t="s">
        <v>21</v>
      </c>
      <c r="L244" s="5" t="s">
        <v>21</v>
      </c>
      <c r="M244" s="5" t="s">
        <v>25</v>
      </c>
      <c r="N244" s="5" t="s">
        <v>76</v>
      </c>
      <c r="O244" s="5" t="s">
        <v>21</v>
      </c>
      <c r="P244" s="5" t="s">
        <v>21</v>
      </c>
      <c r="Q244" s="5" t="s">
        <v>21</v>
      </c>
      <c r="R244" s="5" t="s">
        <v>21</v>
      </c>
      <c r="S244" s="5" t="s">
        <v>21</v>
      </c>
      <c r="T244" s="5" t="s">
        <v>4752</v>
      </c>
      <c r="U244" s="5" t="s">
        <v>4753</v>
      </c>
      <c r="V244" s="5" t="s">
        <v>4754</v>
      </c>
      <c r="W244" s="5" t="s">
        <v>4755</v>
      </c>
      <c r="X244" s="5" t="s">
        <v>4756</v>
      </c>
      <c r="Y244" s="5" t="s">
        <v>4757</v>
      </c>
      <c r="Z244" s="5" t="s">
        <v>4758</v>
      </c>
      <c r="AA244" s="5" t="s">
        <v>4759</v>
      </c>
      <c r="AB244" s="5" t="s">
        <v>4760</v>
      </c>
      <c r="AC244" s="5" t="s">
        <v>21</v>
      </c>
      <c r="AD244" s="5" t="s">
        <v>21</v>
      </c>
      <c r="AE244" s="5" t="s">
        <v>21</v>
      </c>
      <c r="AF244" s="5">
        <v>87</v>
      </c>
      <c r="AG244" s="5">
        <v>6</v>
      </c>
      <c r="AH244" s="5">
        <v>7</v>
      </c>
      <c r="AI244" s="5">
        <v>1</v>
      </c>
      <c r="AJ244" s="5">
        <v>21</v>
      </c>
      <c r="AK244" s="5" t="s">
        <v>1623</v>
      </c>
      <c r="AL244" s="5" t="s">
        <v>1624</v>
      </c>
      <c r="AM244" s="5" t="s">
        <v>1625</v>
      </c>
      <c r="AN244" s="5" t="s">
        <v>2138</v>
      </c>
      <c r="AO244" s="5" t="s">
        <v>2139</v>
      </c>
      <c r="AP244" s="5" t="s">
        <v>21</v>
      </c>
      <c r="AQ244" s="5" t="s">
        <v>2140</v>
      </c>
      <c r="AR244" s="5" t="s">
        <v>2141</v>
      </c>
      <c r="AS244" s="5" t="s">
        <v>176</v>
      </c>
      <c r="AT244" s="5">
        <v>2017</v>
      </c>
      <c r="AU244" s="5">
        <v>4</v>
      </c>
      <c r="AV244" s="5">
        <v>1</v>
      </c>
      <c r="AW244" s="5" t="s">
        <v>21</v>
      </c>
      <c r="AX244" s="5" t="s">
        <v>21</v>
      </c>
      <c r="AY244" s="5" t="s">
        <v>21</v>
      </c>
      <c r="AZ244" s="5" t="s">
        <v>21</v>
      </c>
      <c r="BA244" s="5">
        <v>82</v>
      </c>
      <c r="BB244" s="5">
        <v>93</v>
      </c>
      <c r="BC244" s="5" t="s">
        <v>21</v>
      </c>
      <c r="BD244" s="5" t="s">
        <v>4761</v>
      </c>
      <c r="BE244" s="5" t="str">
        <f>HYPERLINK("http://dx.doi.org/10.1007/s40489-016-0099-4","http://dx.doi.org/10.1007/s40489-016-0099-4")</f>
        <v>http://dx.doi.org/10.1007/s40489-016-0099-4</v>
      </c>
      <c r="BF244" s="5" t="s">
        <v>21</v>
      </c>
      <c r="BG244" s="5" t="s">
        <v>21</v>
      </c>
      <c r="BH244" s="5">
        <v>12</v>
      </c>
      <c r="BI244" s="5" t="s">
        <v>44</v>
      </c>
      <c r="BJ244" s="5" t="s">
        <v>45</v>
      </c>
      <c r="BK244" s="5" t="s">
        <v>46</v>
      </c>
      <c r="BL244" s="5" t="s">
        <v>4762</v>
      </c>
      <c r="BM244" s="5" t="s">
        <v>21</v>
      </c>
      <c r="BN244" s="5" t="s">
        <v>21</v>
      </c>
      <c r="BO244" s="5" t="s">
        <v>21</v>
      </c>
      <c r="BP244" s="5" t="s">
        <v>21</v>
      </c>
      <c r="BQ244" s="5" t="s">
        <v>49</v>
      </c>
      <c r="BR244" s="5" t="s">
        <v>4763</v>
      </c>
      <c r="BS244" s="5" t="str">
        <f>HYPERLINK("https%3A%2F%2Fwww.webofscience.com%2Fwos%2Fwoscc%2Ffull-record%2FWOS:000398970700007","View Full Record in Web of Science")</f>
        <v>View Full Record in Web of Science</v>
      </c>
    </row>
    <row r="245" spans="1:71" x14ac:dyDescent="0.25">
      <c r="A245" t="s">
        <v>19</v>
      </c>
      <c r="B245" s="5" t="s">
        <v>4764</v>
      </c>
      <c r="C245" s="5" t="s">
        <v>21</v>
      </c>
      <c r="D245" s="5" t="s">
        <v>21</v>
      </c>
      <c r="E245" s="5" t="s">
        <v>21</v>
      </c>
      <c r="F245" s="5" t="s">
        <v>4765</v>
      </c>
      <c r="G245" s="5" t="s">
        <v>21</v>
      </c>
      <c r="H245" s="5" t="s">
        <v>21</v>
      </c>
      <c r="I245" s="5" t="s">
        <v>4766</v>
      </c>
      <c r="J245" s="12" t="s">
        <v>2149</v>
      </c>
      <c r="K245" s="5" t="s">
        <v>21</v>
      </c>
      <c r="L245" s="5" t="s">
        <v>21</v>
      </c>
      <c r="M245" s="5" t="s">
        <v>25</v>
      </c>
      <c r="N245" s="5" t="s">
        <v>76</v>
      </c>
      <c r="O245" s="5" t="s">
        <v>21</v>
      </c>
      <c r="P245" s="5" t="s">
        <v>21</v>
      </c>
      <c r="Q245" s="5" t="s">
        <v>21</v>
      </c>
      <c r="R245" s="5" t="s">
        <v>21</v>
      </c>
      <c r="S245" s="5" t="s">
        <v>21</v>
      </c>
      <c r="T245" s="5" t="s">
        <v>4767</v>
      </c>
      <c r="U245" s="5" t="s">
        <v>4768</v>
      </c>
      <c r="V245" s="5" t="s">
        <v>4769</v>
      </c>
      <c r="W245" s="5" t="s">
        <v>4770</v>
      </c>
      <c r="X245" s="5" t="s">
        <v>4771</v>
      </c>
      <c r="Y245" s="5" t="s">
        <v>4772</v>
      </c>
      <c r="Z245" s="5" t="s">
        <v>4773</v>
      </c>
      <c r="AA245" s="5" t="s">
        <v>4774</v>
      </c>
      <c r="AB245" s="5" t="s">
        <v>4775</v>
      </c>
      <c r="AC245" s="5" t="s">
        <v>4776</v>
      </c>
      <c r="AD245" s="5" t="s">
        <v>4777</v>
      </c>
      <c r="AE245" s="5" t="s">
        <v>4778</v>
      </c>
      <c r="AF245" s="5">
        <v>60</v>
      </c>
      <c r="AG245" s="5">
        <v>5</v>
      </c>
      <c r="AH245" s="5">
        <v>5</v>
      </c>
      <c r="AI245" s="5">
        <v>13</v>
      </c>
      <c r="AJ245" s="5">
        <v>18</v>
      </c>
      <c r="AK245" s="5" t="s">
        <v>193</v>
      </c>
      <c r="AL245" s="5" t="s">
        <v>194</v>
      </c>
      <c r="AM245" s="5" t="s">
        <v>1413</v>
      </c>
      <c r="AN245" s="5" t="s">
        <v>21</v>
      </c>
      <c r="AO245" s="5" t="s">
        <v>2161</v>
      </c>
      <c r="AP245" s="5" t="s">
        <v>21</v>
      </c>
      <c r="AQ245" s="5" t="s">
        <v>2162</v>
      </c>
      <c r="AR245" s="5" t="s">
        <v>2163</v>
      </c>
      <c r="AS245" s="5" t="s">
        <v>290</v>
      </c>
      <c r="AT245" s="5">
        <v>2024</v>
      </c>
      <c r="AU245" s="5">
        <v>14</v>
      </c>
      <c r="AV245" s="5">
        <v>14</v>
      </c>
      <c r="AW245" s="5" t="s">
        <v>21</v>
      </c>
      <c r="AX245" s="5" t="s">
        <v>21</v>
      </c>
      <c r="AY245" s="5" t="s">
        <v>21</v>
      </c>
      <c r="AZ245" s="5" t="s">
        <v>21</v>
      </c>
      <c r="BA245" s="5" t="s">
        <v>21</v>
      </c>
      <c r="BB245" s="5" t="s">
        <v>21</v>
      </c>
      <c r="BC245" s="5">
        <v>6285</v>
      </c>
      <c r="BD245" s="5" t="s">
        <v>4779</v>
      </c>
      <c r="BE245" s="5" t="str">
        <f>HYPERLINK("http://dx.doi.org/10.3390/app14146285","http://dx.doi.org/10.3390/app14146285")</f>
        <v>http://dx.doi.org/10.3390/app14146285</v>
      </c>
      <c r="BF245" s="5" t="s">
        <v>21</v>
      </c>
      <c r="BG245" s="5" t="s">
        <v>21</v>
      </c>
      <c r="BH245" s="5">
        <v>18</v>
      </c>
      <c r="BI245" s="5" t="s">
        <v>2165</v>
      </c>
      <c r="BJ245" s="5" t="s">
        <v>524</v>
      </c>
      <c r="BK245" s="5" t="s">
        <v>2166</v>
      </c>
      <c r="BL245" s="5" t="s">
        <v>4780</v>
      </c>
      <c r="BM245" s="5" t="s">
        <v>21</v>
      </c>
      <c r="BN245" s="5" t="s">
        <v>1909</v>
      </c>
      <c r="BO245" s="5" t="s">
        <v>21</v>
      </c>
      <c r="BP245" s="5" t="s">
        <v>21</v>
      </c>
      <c r="BQ245" s="5" t="s">
        <v>49</v>
      </c>
      <c r="BR245" s="5" t="s">
        <v>4781</v>
      </c>
      <c r="BS245" s="5" t="str">
        <f>HYPERLINK("https%3A%2F%2Fwww.webofscience.com%2Fwos%2Fwoscc%2Ffull-record%2FWOS:001276456100001","View Full Record in Web of Science")</f>
        <v>View Full Record in Web of Science</v>
      </c>
    </row>
    <row r="246" spans="1:71" x14ac:dyDescent="0.25">
      <c r="A246" t="s">
        <v>19</v>
      </c>
      <c r="B246" s="5" t="s">
        <v>4782</v>
      </c>
      <c r="C246" s="5" t="s">
        <v>21</v>
      </c>
      <c r="D246" s="5" t="s">
        <v>21</v>
      </c>
      <c r="E246" s="5" t="s">
        <v>21</v>
      </c>
      <c r="F246" s="5" t="s">
        <v>4783</v>
      </c>
      <c r="G246" s="5" t="s">
        <v>21</v>
      </c>
      <c r="H246" s="5" t="s">
        <v>21</v>
      </c>
      <c r="I246" s="5" t="s">
        <v>4784</v>
      </c>
      <c r="J246" s="12" t="s">
        <v>4785</v>
      </c>
      <c r="K246" s="5" t="s">
        <v>21</v>
      </c>
      <c r="L246" s="5" t="s">
        <v>21</v>
      </c>
      <c r="M246" s="5" t="s">
        <v>25</v>
      </c>
      <c r="N246" s="5" t="s">
        <v>76</v>
      </c>
      <c r="O246" s="5" t="s">
        <v>21</v>
      </c>
      <c r="P246" s="5" t="s">
        <v>21</v>
      </c>
      <c r="Q246" s="5" t="s">
        <v>21</v>
      </c>
      <c r="R246" s="5" t="s">
        <v>21</v>
      </c>
      <c r="S246" s="5" t="s">
        <v>21</v>
      </c>
      <c r="T246" s="5" t="s">
        <v>4786</v>
      </c>
      <c r="U246" s="5" t="s">
        <v>4787</v>
      </c>
      <c r="V246" s="5" t="s">
        <v>4788</v>
      </c>
      <c r="W246" s="5" t="s">
        <v>4789</v>
      </c>
      <c r="X246" s="5" t="s">
        <v>4790</v>
      </c>
      <c r="Y246" s="5" t="s">
        <v>4791</v>
      </c>
      <c r="Z246" s="5" t="s">
        <v>4792</v>
      </c>
      <c r="AA246" s="5" t="s">
        <v>2181</v>
      </c>
      <c r="AB246" s="5" t="s">
        <v>4793</v>
      </c>
      <c r="AC246" s="5" t="s">
        <v>21</v>
      </c>
      <c r="AD246" s="5" t="s">
        <v>21</v>
      </c>
      <c r="AE246" s="5" t="s">
        <v>21</v>
      </c>
      <c r="AF246" s="5">
        <v>127</v>
      </c>
      <c r="AG246" s="5">
        <v>5</v>
      </c>
      <c r="AH246" s="5">
        <v>5</v>
      </c>
      <c r="AI246" s="5">
        <v>9</v>
      </c>
      <c r="AJ246" s="5">
        <v>28</v>
      </c>
      <c r="AK246" s="5" t="s">
        <v>193</v>
      </c>
      <c r="AL246" s="5" t="s">
        <v>194</v>
      </c>
      <c r="AM246" s="5" t="s">
        <v>195</v>
      </c>
      <c r="AN246" s="5" t="s">
        <v>21</v>
      </c>
      <c r="AO246" s="5" t="s">
        <v>4794</v>
      </c>
      <c r="AP246" s="5" t="s">
        <v>21</v>
      </c>
      <c r="AQ246" s="5" t="s">
        <v>4795</v>
      </c>
      <c r="AR246" s="5" t="s">
        <v>4796</v>
      </c>
      <c r="AS246" s="5" t="s">
        <v>269</v>
      </c>
      <c r="AT246" s="5">
        <v>2023</v>
      </c>
      <c r="AU246" s="5">
        <v>4</v>
      </c>
      <c r="AV246" s="5">
        <v>4</v>
      </c>
      <c r="AW246" s="5" t="s">
        <v>21</v>
      </c>
      <c r="AX246" s="5" t="s">
        <v>21</v>
      </c>
      <c r="AY246" s="5" t="s">
        <v>21</v>
      </c>
      <c r="AZ246" s="5" t="s">
        <v>21</v>
      </c>
      <c r="BA246" s="5">
        <v>324</v>
      </c>
      <c r="BB246" s="5">
        <v>353</v>
      </c>
      <c r="BC246" s="5" t="s">
        <v>21</v>
      </c>
      <c r="BD246" s="5" t="s">
        <v>4797</v>
      </c>
      <c r="BE246" s="5" t="str">
        <f>HYPERLINK("http://dx.doi.org/10.3390/psychiatryint4040031","http://dx.doi.org/10.3390/psychiatryint4040031")</f>
        <v>http://dx.doi.org/10.3390/psychiatryint4040031</v>
      </c>
      <c r="BF246" s="5" t="s">
        <v>21</v>
      </c>
      <c r="BG246" s="5" t="s">
        <v>21</v>
      </c>
      <c r="BH246" s="5">
        <v>30</v>
      </c>
      <c r="BI246" s="5" t="s">
        <v>161</v>
      </c>
      <c r="BJ246" s="5" t="s">
        <v>1907</v>
      </c>
      <c r="BK246" s="5" t="s">
        <v>161</v>
      </c>
      <c r="BL246" s="5" t="s">
        <v>4798</v>
      </c>
      <c r="BM246" s="5" t="s">
        <v>21</v>
      </c>
      <c r="BN246" s="5" t="s">
        <v>1909</v>
      </c>
      <c r="BO246" s="5" t="s">
        <v>21</v>
      </c>
      <c r="BP246" s="5" t="s">
        <v>21</v>
      </c>
      <c r="BQ246" s="5" t="s">
        <v>49</v>
      </c>
      <c r="BR246" s="5" t="s">
        <v>4799</v>
      </c>
      <c r="BS246" s="5" t="str">
        <f>HYPERLINK("https%3A%2F%2Fwww.webofscience.com%2Fwos%2Fwoscc%2Ffull-record%2FWOS:001130762400001","View Full Record in Web of Science")</f>
        <v>View Full Record in Web of Science</v>
      </c>
    </row>
    <row r="247" spans="1:71" x14ac:dyDescent="0.25">
      <c r="A247" t="s">
        <v>19</v>
      </c>
      <c r="B247" s="5" t="s">
        <v>4800</v>
      </c>
      <c r="C247" s="5" t="s">
        <v>21</v>
      </c>
      <c r="D247" s="5" t="s">
        <v>21</v>
      </c>
      <c r="E247" s="5" t="s">
        <v>21</v>
      </c>
      <c r="F247" s="5" t="s">
        <v>4801</v>
      </c>
      <c r="G247" s="5" t="s">
        <v>21</v>
      </c>
      <c r="H247" s="5" t="s">
        <v>21</v>
      </c>
      <c r="I247" s="5" t="s">
        <v>4802</v>
      </c>
      <c r="J247" s="12" t="s">
        <v>4803</v>
      </c>
      <c r="K247" s="5" t="s">
        <v>21</v>
      </c>
      <c r="L247" s="5" t="s">
        <v>21</v>
      </c>
      <c r="M247" s="5" t="s">
        <v>25</v>
      </c>
      <c r="N247" s="5" t="s">
        <v>26</v>
      </c>
      <c r="O247" s="5" t="s">
        <v>21</v>
      </c>
      <c r="P247" s="5" t="s">
        <v>21</v>
      </c>
      <c r="Q247" s="5" t="s">
        <v>21</v>
      </c>
      <c r="R247" s="5" t="s">
        <v>21</v>
      </c>
      <c r="S247" s="5" t="s">
        <v>21</v>
      </c>
      <c r="T247" s="5" t="s">
        <v>4804</v>
      </c>
      <c r="U247" s="5" t="s">
        <v>4805</v>
      </c>
      <c r="V247" s="5" t="s">
        <v>4806</v>
      </c>
      <c r="W247" s="5" t="s">
        <v>4807</v>
      </c>
      <c r="X247" s="5" t="s">
        <v>4808</v>
      </c>
      <c r="Y247" s="5" t="s">
        <v>4809</v>
      </c>
      <c r="Z247" s="5" t="s">
        <v>4810</v>
      </c>
      <c r="AA247" s="5" t="s">
        <v>4811</v>
      </c>
      <c r="AB247" s="5" t="s">
        <v>4812</v>
      </c>
      <c r="AC247" s="5" t="s">
        <v>4813</v>
      </c>
      <c r="AD247" s="5" t="s">
        <v>4814</v>
      </c>
      <c r="AE247" s="5" t="s">
        <v>4815</v>
      </c>
      <c r="AF247" s="5">
        <v>68</v>
      </c>
      <c r="AG247" s="5">
        <v>5</v>
      </c>
      <c r="AH247" s="5">
        <v>5</v>
      </c>
      <c r="AI247" s="5">
        <v>11</v>
      </c>
      <c r="AJ247" s="5">
        <v>24</v>
      </c>
      <c r="AK247" s="5" t="s">
        <v>584</v>
      </c>
      <c r="AL247" s="5" t="s">
        <v>585</v>
      </c>
      <c r="AM247" s="5" t="s">
        <v>586</v>
      </c>
      <c r="AN247" s="5" t="s">
        <v>4816</v>
      </c>
      <c r="AO247" s="5" t="s">
        <v>4817</v>
      </c>
      <c r="AP247" s="5" t="s">
        <v>21</v>
      </c>
      <c r="AQ247" s="5" t="s">
        <v>4818</v>
      </c>
      <c r="AR247" s="5" t="s">
        <v>4819</v>
      </c>
      <c r="AS247" s="5" t="s">
        <v>3028</v>
      </c>
      <c r="AT247" s="5">
        <v>2024</v>
      </c>
      <c r="AU247" s="5">
        <v>19</v>
      </c>
      <c r="AV247" s="5">
        <v>5</v>
      </c>
      <c r="AW247" s="5" t="s">
        <v>21</v>
      </c>
      <c r="AX247" s="5" t="s">
        <v>21</v>
      </c>
      <c r="AY247" s="5" t="s">
        <v>21</v>
      </c>
      <c r="AZ247" s="5" t="s">
        <v>21</v>
      </c>
      <c r="BA247" s="5">
        <v>2046</v>
      </c>
      <c r="BB247" s="5">
        <v>2056</v>
      </c>
      <c r="BC247" s="5" t="s">
        <v>21</v>
      </c>
      <c r="BD247" s="5" t="s">
        <v>4820</v>
      </c>
      <c r="BE247" s="5" t="str">
        <f>HYPERLINK("http://dx.doi.org/10.1080/17483107.2023.2249031","http://dx.doi.org/10.1080/17483107.2023.2249031")</f>
        <v>http://dx.doi.org/10.1080/17483107.2023.2249031</v>
      </c>
      <c r="BF247" s="5" t="s">
        <v>21</v>
      </c>
      <c r="BG247" s="5" t="s">
        <v>4821</v>
      </c>
      <c r="BH247" s="5">
        <v>11</v>
      </c>
      <c r="BI247" s="5" t="s">
        <v>2990</v>
      </c>
      <c r="BJ247" s="5" t="s">
        <v>45</v>
      </c>
      <c r="BK247" s="5" t="s">
        <v>2990</v>
      </c>
      <c r="BL247" s="5" t="s">
        <v>4822</v>
      </c>
      <c r="BM247" s="5">
        <v>37695272</v>
      </c>
      <c r="BN247" s="5" t="s">
        <v>1076</v>
      </c>
      <c r="BO247" s="5" t="s">
        <v>21</v>
      </c>
      <c r="BP247" s="5" t="s">
        <v>21</v>
      </c>
      <c r="BQ247" s="5" t="s">
        <v>49</v>
      </c>
      <c r="BR247" s="5" t="s">
        <v>4823</v>
      </c>
      <c r="BS247" s="5" t="str">
        <f>HYPERLINK("https%3A%2F%2Fwww.webofscience.com%2Fwos%2Fwoscc%2Ffull-record%2FWOS:001065171400001","View Full Record in Web of Science")</f>
        <v>View Full Record in Web of Science</v>
      </c>
    </row>
    <row r="248" spans="1:71" x14ac:dyDescent="0.25">
      <c r="A248" t="s">
        <v>19</v>
      </c>
      <c r="B248" s="5" t="s">
        <v>4824</v>
      </c>
      <c r="C248" s="5" t="s">
        <v>21</v>
      </c>
      <c r="D248" s="5" t="s">
        <v>21</v>
      </c>
      <c r="E248" s="5" t="s">
        <v>21</v>
      </c>
      <c r="F248" s="5" t="s">
        <v>4825</v>
      </c>
      <c r="G248" s="5" t="s">
        <v>21</v>
      </c>
      <c r="H248" s="5" t="s">
        <v>21</v>
      </c>
      <c r="I248" s="5" t="s">
        <v>4826</v>
      </c>
      <c r="J248" s="12" t="s">
        <v>1279</v>
      </c>
      <c r="K248" s="5" t="s">
        <v>21</v>
      </c>
      <c r="L248" s="5" t="s">
        <v>21</v>
      </c>
      <c r="M248" s="5" t="s">
        <v>25</v>
      </c>
      <c r="N248" s="5" t="s">
        <v>26</v>
      </c>
      <c r="O248" s="5" t="s">
        <v>21</v>
      </c>
      <c r="P248" s="5" t="s">
        <v>21</v>
      </c>
      <c r="Q248" s="5" t="s">
        <v>21</v>
      </c>
      <c r="R248" s="5" t="s">
        <v>21</v>
      </c>
      <c r="S248" s="5" t="s">
        <v>21</v>
      </c>
      <c r="T248" s="5" t="s">
        <v>4827</v>
      </c>
      <c r="U248" s="5" t="s">
        <v>4828</v>
      </c>
      <c r="V248" s="5" t="s">
        <v>4829</v>
      </c>
      <c r="W248" s="5" t="s">
        <v>4830</v>
      </c>
      <c r="X248" s="5" t="s">
        <v>4831</v>
      </c>
      <c r="Y248" s="5" t="s">
        <v>4832</v>
      </c>
      <c r="Z248" s="5" t="s">
        <v>4833</v>
      </c>
      <c r="AA248" s="5" t="s">
        <v>4834</v>
      </c>
      <c r="AB248" s="5" t="s">
        <v>21</v>
      </c>
      <c r="AC248" s="5" t="s">
        <v>4835</v>
      </c>
      <c r="AD248" s="5" t="s">
        <v>4836</v>
      </c>
      <c r="AE248" s="5" t="s">
        <v>4837</v>
      </c>
      <c r="AF248" s="5">
        <v>28</v>
      </c>
      <c r="AG248" s="5">
        <v>5</v>
      </c>
      <c r="AH248" s="5">
        <v>5</v>
      </c>
      <c r="AI248" s="5">
        <v>9</v>
      </c>
      <c r="AJ248" s="5">
        <v>19</v>
      </c>
      <c r="AK248" s="5" t="s">
        <v>1292</v>
      </c>
      <c r="AL248" s="5" t="s">
        <v>252</v>
      </c>
      <c r="AM248" s="5" t="s">
        <v>1293</v>
      </c>
      <c r="AN248" s="5" t="s">
        <v>1294</v>
      </c>
      <c r="AO248" s="5" t="s">
        <v>1295</v>
      </c>
      <c r="AP248" s="5" t="s">
        <v>21</v>
      </c>
      <c r="AQ248" s="5" t="s">
        <v>1296</v>
      </c>
      <c r="AR248" s="5" t="s">
        <v>1297</v>
      </c>
      <c r="AS248" s="5" t="s">
        <v>134</v>
      </c>
      <c r="AT248" s="5">
        <v>2023</v>
      </c>
      <c r="AU248" s="5">
        <v>16</v>
      </c>
      <c r="AV248" s="5">
        <v>10</v>
      </c>
      <c r="AW248" s="5" t="s">
        <v>21</v>
      </c>
      <c r="AX248" s="5" t="s">
        <v>21</v>
      </c>
      <c r="AY248" s="5" t="s">
        <v>21</v>
      </c>
      <c r="AZ248" s="5" t="s">
        <v>21</v>
      </c>
      <c r="BA248" s="5">
        <v>2002</v>
      </c>
      <c r="BB248" s="5">
        <v>2007</v>
      </c>
      <c r="BC248" s="5" t="s">
        <v>21</v>
      </c>
      <c r="BD248" s="5" t="s">
        <v>4838</v>
      </c>
      <c r="BE248" s="5" t="str">
        <f>HYPERLINK("http://dx.doi.org/10.1002/aur.3013","http://dx.doi.org/10.1002/aur.3013")</f>
        <v>http://dx.doi.org/10.1002/aur.3013</v>
      </c>
      <c r="BF248" s="5" t="s">
        <v>21</v>
      </c>
      <c r="BG248" s="5" t="s">
        <v>4821</v>
      </c>
      <c r="BH248" s="5">
        <v>6</v>
      </c>
      <c r="BI248" s="5" t="s">
        <v>1299</v>
      </c>
      <c r="BJ248" s="5" t="s">
        <v>92</v>
      </c>
      <c r="BK248" s="5" t="s">
        <v>1300</v>
      </c>
      <c r="BL248" s="5" t="s">
        <v>4839</v>
      </c>
      <c r="BM248" s="5">
        <v>37658641</v>
      </c>
      <c r="BN248" s="5" t="s">
        <v>4840</v>
      </c>
      <c r="BO248" s="5" t="s">
        <v>21</v>
      </c>
      <c r="BP248" s="5" t="s">
        <v>21</v>
      </c>
      <c r="BQ248" s="5" t="s">
        <v>49</v>
      </c>
      <c r="BR248" s="5" t="s">
        <v>4841</v>
      </c>
      <c r="BS248" s="5" t="str">
        <f>HYPERLINK("https%3A%2F%2Fwww.webofscience.com%2Fwos%2Fwoscc%2Ffull-record%2FWOS:001060092300001","View Full Record in Web of Science")</f>
        <v>View Full Record in Web of Science</v>
      </c>
    </row>
    <row r="249" spans="1:71" x14ac:dyDescent="0.25">
      <c r="A249" t="s">
        <v>19</v>
      </c>
      <c r="B249" s="5" t="s">
        <v>2833</v>
      </c>
      <c r="C249" s="5" t="s">
        <v>21</v>
      </c>
      <c r="D249" s="5" t="s">
        <v>21</v>
      </c>
      <c r="E249" s="5" t="s">
        <v>21</v>
      </c>
      <c r="F249" s="5" t="s">
        <v>2834</v>
      </c>
      <c r="G249" s="5" t="s">
        <v>21</v>
      </c>
      <c r="H249" s="5" t="s">
        <v>21</v>
      </c>
      <c r="I249" s="5" t="s">
        <v>4842</v>
      </c>
      <c r="J249" s="12" t="s">
        <v>24</v>
      </c>
      <c r="K249" s="5" t="s">
        <v>21</v>
      </c>
      <c r="L249" s="5" t="s">
        <v>21</v>
      </c>
      <c r="M249" s="5" t="s">
        <v>25</v>
      </c>
      <c r="N249" s="5" t="s">
        <v>26</v>
      </c>
      <c r="O249" s="5" t="s">
        <v>21</v>
      </c>
      <c r="P249" s="5" t="s">
        <v>21</v>
      </c>
      <c r="Q249" s="5" t="s">
        <v>21</v>
      </c>
      <c r="R249" s="5" t="s">
        <v>21</v>
      </c>
      <c r="S249" s="5" t="s">
        <v>21</v>
      </c>
      <c r="T249" s="5" t="s">
        <v>4843</v>
      </c>
      <c r="U249" s="5" t="s">
        <v>4844</v>
      </c>
      <c r="V249" s="5" t="s">
        <v>4845</v>
      </c>
      <c r="W249" s="5" t="s">
        <v>4846</v>
      </c>
      <c r="X249" s="5" t="s">
        <v>4847</v>
      </c>
      <c r="Y249" s="5" t="s">
        <v>4848</v>
      </c>
      <c r="Z249" s="5" t="s">
        <v>4849</v>
      </c>
      <c r="AA249" s="5" t="s">
        <v>876</v>
      </c>
      <c r="AB249" s="5" t="s">
        <v>877</v>
      </c>
      <c r="AC249" s="5" t="s">
        <v>21</v>
      </c>
      <c r="AD249" s="5" t="s">
        <v>21</v>
      </c>
      <c r="AE249" s="5" t="s">
        <v>21</v>
      </c>
      <c r="AF249" s="5">
        <v>84</v>
      </c>
      <c r="AG249" s="5">
        <v>5</v>
      </c>
      <c r="AH249" s="5">
        <v>5</v>
      </c>
      <c r="AI249" s="5">
        <v>20</v>
      </c>
      <c r="AJ249" s="5">
        <v>64</v>
      </c>
      <c r="AK249" s="5" t="s">
        <v>35</v>
      </c>
      <c r="AL249" s="5" t="s">
        <v>36</v>
      </c>
      <c r="AM249" s="5" t="s">
        <v>37</v>
      </c>
      <c r="AN249" s="5" t="s">
        <v>38</v>
      </c>
      <c r="AO249" s="5" t="s">
        <v>39</v>
      </c>
      <c r="AP249" s="5" t="s">
        <v>21</v>
      </c>
      <c r="AQ249" s="5" t="s">
        <v>40</v>
      </c>
      <c r="AR249" s="5" t="s">
        <v>41</v>
      </c>
      <c r="AS249" s="5" t="s">
        <v>199</v>
      </c>
      <c r="AT249" s="5">
        <v>2024</v>
      </c>
      <c r="AU249" s="5">
        <v>54</v>
      </c>
      <c r="AV249" s="5">
        <v>8</v>
      </c>
      <c r="AW249" s="5" t="s">
        <v>21</v>
      </c>
      <c r="AX249" s="5" t="s">
        <v>21</v>
      </c>
      <c r="AY249" s="5" t="s">
        <v>21</v>
      </c>
      <c r="AZ249" s="5" t="s">
        <v>21</v>
      </c>
      <c r="BA249" s="5">
        <v>2826</v>
      </c>
      <c r="BB249" s="5">
        <v>2846</v>
      </c>
      <c r="BC249" s="5" t="s">
        <v>21</v>
      </c>
      <c r="BD249" s="5" t="s">
        <v>4850</v>
      </c>
      <c r="BE249" s="5" t="str">
        <f>HYPERLINK("http://dx.doi.org/10.1007/s10803-023-06021-7","http://dx.doi.org/10.1007/s10803-023-06021-7")</f>
        <v>http://dx.doi.org/10.1007/s10803-023-06021-7</v>
      </c>
      <c r="BF249" s="5" t="s">
        <v>21</v>
      </c>
      <c r="BG249" s="5" t="s">
        <v>4292</v>
      </c>
      <c r="BH249" s="5">
        <v>21</v>
      </c>
      <c r="BI249" s="5" t="s">
        <v>44</v>
      </c>
      <c r="BJ249" s="5" t="s">
        <v>45</v>
      </c>
      <c r="BK249" s="5" t="s">
        <v>46</v>
      </c>
      <c r="BL249" s="5" t="s">
        <v>4851</v>
      </c>
      <c r="BM249" s="5">
        <v>37246166</v>
      </c>
      <c r="BN249" s="5" t="s">
        <v>21</v>
      </c>
      <c r="BO249" s="5" t="s">
        <v>21</v>
      </c>
      <c r="BP249" s="5" t="s">
        <v>21</v>
      </c>
      <c r="BQ249" s="5" t="s">
        <v>49</v>
      </c>
      <c r="BR249" s="5" t="s">
        <v>4852</v>
      </c>
      <c r="BS249" s="5" t="str">
        <f>HYPERLINK("https%3A%2F%2Fwww.webofscience.com%2Fwos%2Fwoscc%2Ffull-record%2FWOS:000995446400001","View Full Record in Web of Science")</f>
        <v>View Full Record in Web of Science</v>
      </c>
    </row>
    <row r="250" spans="1:71" x14ac:dyDescent="0.25">
      <c r="A250" t="s">
        <v>19</v>
      </c>
      <c r="B250" s="5" t="s">
        <v>4853</v>
      </c>
      <c r="C250" s="5" t="s">
        <v>21</v>
      </c>
      <c r="D250" s="5" t="s">
        <v>21</v>
      </c>
      <c r="E250" s="5" t="s">
        <v>21</v>
      </c>
      <c r="F250" s="5" t="s">
        <v>4854</v>
      </c>
      <c r="G250" s="5" t="s">
        <v>21</v>
      </c>
      <c r="H250" s="5" t="s">
        <v>21</v>
      </c>
      <c r="I250" s="5" t="s">
        <v>4855</v>
      </c>
      <c r="J250" s="12" t="s">
        <v>183</v>
      </c>
      <c r="K250" s="5" t="s">
        <v>21</v>
      </c>
      <c r="L250" s="5" t="s">
        <v>21</v>
      </c>
      <c r="M250" s="5" t="s">
        <v>25</v>
      </c>
      <c r="N250" s="5" t="s">
        <v>26</v>
      </c>
      <c r="O250" s="5" t="s">
        <v>21</v>
      </c>
      <c r="P250" s="5" t="s">
        <v>21</v>
      </c>
      <c r="Q250" s="5" t="s">
        <v>21</v>
      </c>
      <c r="R250" s="5" t="s">
        <v>21</v>
      </c>
      <c r="S250" s="5" t="s">
        <v>21</v>
      </c>
      <c r="T250" s="5" t="s">
        <v>4856</v>
      </c>
      <c r="U250" s="5" t="s">
        <v>4857</v>
      </c>
      <c r="V250" s="5" t="s">
        <v>4858</v>
      </c>
      <c r="W250" s="5" t="s">
        <v>4859</v>
      </c>
      <c r="X250" s="5" t="s">
        <v>4860</v>
      </c>
      <c r="Y250" s="5" t="s">
        <v>4861</v>
      </c>
      <c r="Z250" s="5" t="s">
        <v>4862</v>
      </c>
      <c r="AA250" s="5" t="s">
        <v>4863</v>
      </c>
      <c r="AB250" s="5" t="s">
        <v>4864</v>
      </c>
      <c r="AC250" s="5" t="s">
        <v>21</v>
      </c>
      <c r="AD250" s="5" t="s">
        <v>21</v>
      </c>
      <c r="AE250" s="5" t="s">
        <v>21</v>
      </c>
      <c r="AF250" s="5">
        <v>133</v>
      </c>
      <c r="AG250" s="5">
        <v>5</v>
      </c>
      <c r="AH250" s="5">
        <v>5</v>
      </c>
      <c r="AI250" s="5">
        <v>11</v>
      </c>
      <c r="AJ250" s="5">
        <v>38</v>
      </c>
      <c r="AK250" s="5" t="s">
        <v>193</v>
      </c>
      <c r="AL250" s="5" t="s">
        <v>194</v>
      </c>
      <c r="AM250" s="5" t="s">
        <v>195</v>
      </c>
      <c r="AN250" s="5" t="s">
        <v>21</v>
      </c>
      <c r="AO250" s="5" t="s">
        <v>196</v>
      </c>
      <c r="AP250" s="5" t="s">
        <v>21</v>
      </c>
      <c r="AQ250" s="5" t="s">
        <v>197</v>
      </c>
      <c r="AR250" s="5" t="s">
        <v>198</v>
      </c>
      <c r="AS250" s="5" t="s">
        <v>334</v>
      </c>
      <c r="AT250" s="5">
        <v>2023</v>
      </c>
      <c r="AU250" s="5">
        <v>23</v>
      </c>
      <c r="AV250" s="5">
        <v>4</v>
      </c>
      <c r="AW250" s="5" t="s">
        <v>21</v>
      </c>
      <c r="AX250" s="5" t="s">
        <v>21</v>
      </c>
      <c r="AY250" s="5" t="s">
        <v>21</v>
      </c>
      <c r="AZ250" s="5" t="s">
        <v>21</v>
      </c>
      <c r="BA250" s="5" t="s">
        <v>21</v>
      </c>
      <c r="BB250" s="5" t="s">
        <v>21</v>
      </c>
      <c r="BC250" s="5">
        <v>2192</v>
      </c>
      <c r="BD250" s="5" t="s">
        <v>4865</v>
      </c>
      <c r="BE250" s="5" t="str">
        <f>HYPERLINK("http://dx.doi.org/10.3390/s23042192","http://dx.doi.org/10.3390/s23042192")</f>
        <v>http://dx.doi.org/10.3390/s23042192</v>
      </c>
      <c r="BF250" s="5" t="s">
        <v>21</v>
      </c>
      <c r="BG250" s="5" t="s">
        <v>21</v>
      </c>
      <c r="BH250" s="5">
        <v>24</v>
      </c>
      <c r="BI250" s="5" t="s">
        <v>201</v>
      </c>
      <c r="BJ250" s="5" t="s">
        <v>524</v>
      </c>
      <c r="BK250" s="5" t="s">
        <v>202</v>
      </c>
      <c r="BL250" s="5" t="s">
        <v>4866</v>
      </c>
      <c r="BM250" s="5">
        <v>36850787</v>
      </c>
      <c r="BN250" s="5" t="s">
        <v>864</v>
      </c>
      <c r="BO250" s="5" t="s">
        <v>21</v>
      </c>
      <c r="BP250" s="5" t="s">
        <v>21</v>
      </c>
      <c r="BQ250" s="5" t="s">
        <v>49</v>
      </c>
      <c r="BR250" s="5" t="s">
        <v>4867</v>
      </c>
      <c r="BS250" s="5" t="str">
        <f>HYPERLINK("https%3A%2F%2Fwww.webofscience.com%2Fwos%2Fwoscc%2Ffull-record%2FWOS:000941334100001","View Full Record in Web of Science")</f>
        <v>View Full Record in Web of Science</v>
      </c>
    </row>
    <row r="251" spans="1:71" x14ac:dyDescent="0.25">
      <c r="A251" t="s">
        <v>19</v>
      </c>
      <c r="B251" s="5" t="s">
        <v>4868</v>
      </c>
      <c r="C251" s="5" t="s">
        <v>21</v>
      </c>
      <c r="D251" s="5" t="s">
        <v>21</v>
      </c>
      <c r="E251" s="5" t="s">
        <v>21</v>
      </c>
      <c r="F251" s="5" t="s">
        <v>4869</v>
      </c>
      <c r="G251" s="5" t="s">
        <v>21</v>
      </c>
      <c r="H251" s="5" t="s">
        <v>21</v>
      </c>
      <c r="I251" s="5" t="s">
        <v>4870</v>
      </c>
      <c r="J251" s="12" t="s">
        <v>2798</v>
      </c>
      <c r="K251" s="5" t="s">
        <v>21</v>
      </c>
      <c r="L251" s="5" t="s">
        <v>21</v>
      </c>
      <c r="M251" s="5" t="s">
        <v>25</v>
      </c>
      <c r="N251" s="5" t="s">
        <v>26</v>
      </c>
      <c r="O251" s="5" t="s">
        <v>21</v>
      </c>
      <c r="P251" s="5" t="s">
        <v>21</v>
      </c>
      <c r="Q251" s="5" t="s">
        <v>21</v>
      </c>
      <c r="R251" s="5" t="s">
        <v>21</v>
      </c>
      <c r="S251" s="5" t="s">
        <v>21</v>
      </c>
      <c r="T251" s="5" t="s">
        <v>4871</v>
      </c>
      <c r="U251" s="5" t="s">
        <v>21</v>
      </c>
      <c r="V251" s="5" t="s">
        <v>4872</v>
      </c>
      <c r="W251" s="5" t="s">
        <v>4873</v>
      </c>
      <c r="X251" s="5" t="s">
        <v>4874</v>
      </c>
      <c r="Y251" s="5" t="s">
        <v>4875</v>
      </c>
      <c r="Z251" s="5" t="s">
        <v>4876</v>
      </c>
      <c r="AA251" s="5" t="s">
        <v>4877</v>
      </c>
      <c r="AB251" s="5" t="s">
        <v>4878</v>
      </c>
      <c r="AC251" s="5" t="s">
        <v>4879</v>
      </c>
      <c r="AD251" s="5" t="s">
        <v>4880</v>
      </c>
      <c r="AE251" s="5" t="s">
        <v>4881</v>
      </c>
      <c r="AF251" s="5">
        <v>25</v>
      </c>
      <c r="AG251" s="5">
        <v>5</v>
      </c>
      <c r="AH251" s="5">
        <v>5</v>
      </c>
      <c r="AI251" s="5">
        <v>1</v>
      </c>
      <c r="AJ251" s="5">
        <v>3</v>
      </c>
      <c r="AK251" s="5" t="s">
        <v>153</v>
      </c>
      <c r="AL251" s="5" t="s">
        <v>154</v>
      </c>
      <c r="AM251" s="5" t="s">
        <v>155</v>
      </c>
      <c r="AN251" s="5" t="s">
        <v>21</v>
      </c>
      <c r="AO251" s="5" t="s">
        <v>2805</v>
      </c>
      <c r="AP251" s="5" t="s">
        <v>21</v>
      </c>
      <c r="AQ251" s="5" t="s">
        <v>2806</v>
      </c>
      <c r="AR251" s="5" t="s">
        <v>2807</v>
      </c>
      <c r="AS251" s="5" t="s">
        <v>4882</v>
      </c>
      <c r="AT251" s="5">
        <v>2022</v>
      </c>
      <c r="AU251" s="5">
        <v>3</v>
      </c>
      <c r="AV251" s="5" t="s">
        <v>21</v>
      </c>
      <c r="AW251" s="5" t="s">
        <v>21</v>
      </c>
      <c r="AX251" s="5" t="s">
        <v>21</v>
      </c>
      <c r="AY251" s="5" t="s">
        <v>21</v>
      </c>
      <c r="AZ251" s="5" t="s">
        <v>21</v>
      </c>
      <c r="BA251" s="5" t="s">
        <v>21</v>
      </c>
      <c r="BB251" s="5" t="s">
        <v>21</v>
      </c>
      <c r="BC251" s="5">
        <v>960146</v>
      </c>
      <c r="BD251" s="5" t="s">
        <v>4883</v>
      </c>
      <c r="BE251" s="5" t="str">
        <f>HYPERLINK("http://dx.doi.org/10.3389/frvir.2022.960146","http://dx.doi.org/10.3389/frvir.2022.960146")</f>
        <v>http://dx.doi.org/10.3389/frvir.2022.960146</v>
      </c>
      <c r="BF251" s="5" t="s">
        <v>21</v>
      </c>
      <c r="BG251" s="5" t="s">
        <v>21</v>
      </c>
      <c r="BH251" s="5">
        <v>10</v>
      </c>
      <c r="BI251" s="5" t="s">
        <v>784</v>
      </c>
      <c r="BJ251" s="5" t="s">
        <v>1907</v>
      </c>
      <c r="BK251" s="5" t="s">
        <v>715</v>
      </c>
      <c r="BL251" s="5" t="s">
        <v>4884</v>
      </c>
      <c r="BM251" s="5" t="s">
        <v>21</v>
      </c>
      <c r="BN251" s="5" t="s">
        <v>1909</v>
      </c>
      <c r="BO251" s="5" t="s">
        <v>21</v>
      </c>
      <c r="BP251" s="5" t="s">
        <v>21</v>
      </c>
      <c r="BQ251" s="5" t="s">
        <v>49</v>
      </c>
      <c r="BR251" s="5" t="s">
        <v>4885</v>
      </c>
      <c r="BS251" s="5" t="str">
        <f>HYPERLINK("https%3A%2F%2Fwww.webofscience.com%2Fwos%2Fwoscc%2Ffull-record%2FWOS:001023300800001","View Full Record in Web of Science")</f>
        <v>View Full Record in Web of Science</v>
      </c>
    </row>
    <row r="252" spans="1:71" x14ac:dyDescent="0.25">
      <c r="A252" t="s">
        <v>19</v>
      </c>
      <c r="B252" s="5" t="s">
        <v>4886</v>
      </c>
      <c r="C252" s="5" t="s">
        <v>21</v>
      </c>
      <c r="D252" s="5" t="s">
        <v>21</v>
      </c>
      <c r="E252" s="5" t="s">
        <v>21</v>
      </c>
      <c r="F252" s="5" t="s">
        <v>4887</v>
      </c>
      <c r="G252" s="5" t="s">
        <v>21</v>
      </c>
      <c r="H252" s="5" t="s">
        <v>21</v>
      </c>
      <c r="I252" s="5" t="s">
        <v>4888</v>
      </c>
      <c r="J252" s="12" t="s">
        <v>4889</v>
      </c>
      <c r="K252" s="5" t="s">
        <v>21</v>
      </c>
      <c r="L252" s="5" t="s">
        <v>21</v>
      </c>
      <c r="M252" s="5" t="s">
        <v>25</v>
      </c>
      <c r="N252" s="5" t="s">
        <v>26</v>
      </c>
      <c r="O252" s="5" t="s">
        <v>21</v>
      </c>
      <c r="P252" s="5" t="s">
        <v>21</v>
      </c>
      <c r="Q252" s="5" t="s">
        <v>21</v>
      </c>
      <c r="R252" s="5" t="s">
        <v>21</v>
      </c>
      <c r="S252" s="5" t="s">
        <v>21</v>
      </c>
      <c r="T252" s="5" t="s">
        <v>21</v>
      </c>
      <c r="U252" s="5" t="s">
        <v>4890</v>
      </c>
      <c r="V252" s="5" t="s">
        <v>4891</v>
      </c>
      <c r="W252" s="5" t="s">
        <v>4892</v>
      </c>
      <c r="X252" s="5" t="s">
        <v>4893</v>
      </c>
      <c r="Y252" s="5" t="s">
        <v>4894</v>
      </c>
      <c r="Z252" s="5" t="s">
        <v>4895</v>
      </c>
      <c r="AA252" s="5" t="s">
        <v>4896</v>
      </c>
      <c r="AB252" s="5" t="s">
        <v>21</v>
      </c>
      <c r="AC252" s="5" t="s">
        <v>21</v>
      </c>
      <c r="AD252" s="5" t="s">
        <v>21</v>
      </c>
      <c r="AE252" s="5" t="s">
        <v>21</v>
      </c>
      <c r="AF252" s="5">
        <v>20</v>
      </c>
      <c r="AG252" s="5">
        <v>5</v>
      </c>
      <c r="AH252" s="5">
        <v>5</v>
      </c>
      <c r="AI252" s="5">
        <v>5</v>
      </c>
      <c r="AJ252" s="5">
        <v>59</v>
      </c>
      <c r="AK252" s="5" t="s">
        <v>4897</v>
      </c>
      <c r="AL252" s="5" t="s">
        <v>64</v>
      </c>
      <c r="AM252" s="5" t="s">
        <v>4898</v>
      </c>
      <c r="AN252" s="5" t="s">
        <v>4899</v>
      </c>
      <c r="AO252" s="5" t="s">
        <v>4900</v>
      </c>
      <c r="AP252" s="5" t="s">
        <v>21</v>
      </c>
      <c r="AQ252" s="5" t="s">
        <v>4901</v>
      </c>
      <c r="AR252" s="5" t="s">
        <v>4902</v>
      </c>
      <c r="AS252" s="5" t="s">
        <v>4903</v>
      </c>
      <c r="AT252" s="5">
        <v>2022</v>
      </c>
      <c r="AU252" s="5">
        <v>2022</v>
      </c>
      <c r="AV252" s="5" t="s">
        <v>21</v>
      </c>
      <c r="AW252" s="5" t="s">
        <v>21</v>
      </c>
      <c r="AX252" s="5" t="s">
        <v>21</v>
      </c>
      <c r="AY252" s="5" t="s">
        <v>21</v>
      </c>
      <c r="AZ252" s="5" t="s">
        <v>21</v>
      </c>
      <c r="BA252" s="5" t="s">
        <v>21</v>
      </c>
      <c r="BB252" s="5" t="s">
        <v>21</v>
      </c>
      <c r="BC252" s="5">
        <v>8783355</v>
      </c>
      <c r="BD252" s="5" t="s">
        <v>4904</v>
      </c>
      <c r="BE252" s="5" t="str">
        <f>HYPERLINK("http://dx.doi.org/10.1155/2022/8783355","http://dx.doi.org/10.1155/2022/8783355")</f>
        <v>http://dx.doi.org/10.1155/2022/8783355</v>
      </c>
      <c r="BF252" s="5" t="s">
        <v>21</v>
      </c>
      <c r="BG252" s="5" t="s">
        <v>21</v>
      </c>
      <c r="BH252" s="5">
        <v>11</v>
      </c>
      <c r="BI252" s="5" t="s">
        <v>3501</v>
      </c>
      <c r="BJ252" s="5" t="s">
        <v>524</v>
      </c>
      <c r="BK252" s="5" t="s">
        <v>3502</v>
      </c>
      <c r="BL252" s="5" t="s">
        <v>4905</v>
      </c>
      <c r="BM252" s="5" t="s">
        <v>21</v>
      </c>
      <c r="BN252" s="5" t="s">
        <v>1909</v>
      </c>
      <c r="BO252" s="5" t="s">
        <v>21</v>
      </c>
      <c r="BP252" s="5" t="s">
        <v>21</v>
      </c>
      <c r="BQ252" s="5" t="s">
        <v>49</v>
      </c>
      <c r="BR252" s="5" t="s">
        <v>4906</v>
      </c>
      <c r="BS252" s="5" t="str">
        <f>HYPERLINK("https%3A%2F%2Fwww.webofscience.com%2Fwos%2Fwoscc%2Ffull-record%2FWOS:000843306000011","View Full Record in Web of Science")</f>
        <v>View Full Record in Web of Science</v>
      </c>
    </row>
    <row r="253" spans="1:71" x14ac:dyDescent="0.25">
      <c r="A253" t="s">
        <v>19</v>
      </c>
      <c r="B253" s="5" t="s">
        <v>4907</v>
      </c>
      <c r="C253" s="5" t="s">
        <v>21</v>
      </c>
      <c r="D253" s="5" t="s">
        <v>21</v>
      </c>
      <c r="E253" s="5" t="s">
        <v>21</v>
      </c>
      <c r="F253" s="5" t="s">
        <v>4908</v>
      </c>
      <c r="G253" s="5" t="s">
        <v>21</v>
      </c>
      <c r="H253" s="5" t="s">
        <v>21</v>
      </c>
      <c r="I253" s="5" t="s">
        <v>4909</v>
      </c>
      <c r="J253" s="12" t="s">
        <v>2972</v>
      </c>
      <c r="K253" s="5" t="s">
        <v>21</v>
      </c>
      <c r="L253" s="5" t="s">
        <v>21</v>
      </c>
      <c r="M253" s="5" t="s">
        <v>25</v>
      </c>
      <c r="N253" s="5" t="s">
        <v>26</v>
      </c>
      <c r="O253" s="5" t="s">
        <v>21</v>
      </c>
      <c r="P253" s="5" t="s">
        <v>21</v>
      </c>
      <c r="Q253" s="5" t="s">
        <v>21</v>
      </c>
      <c r="R253" s="5" t="s">
        <v>21</v>
      </c>
      <c r="S253" s="5" t="s">
        <v>21</v>
      </c>
      <c r="T253" s="5" t="s">
        <v>4910</v>
      </c>
      <c r="U253" s="5" t="s">
        <v>4911</v>
      </c>
      <c r="V253" s="5" t="s">
        <v>4912</v>
      </c>
      <c r="W253" s="5" t="s">
        <v>4913</v>
      </c>
      <c r="X253" s="5" t="s">
        <v>4914</v>
      </c>
      <c r="Y253" s="5" t="s">
        <v>4915</v>
      </c>
      <c r="Z253" s="5" t="s">
        <v>4916</v>
      </c>
      <c r="AA253" s="5" t="s">
        <v>21</v>
      </c>
      <c r="AB253" s="5" t="s">
        <v>21</v>
      </c>
      <c r="AC253" s="5" t="s">
        <v>21</v>
      </c>
      <c r="AD253" s="5" t="s">
        <v>21</v>
      </c>
      <c r="AE253" s="5" t="s">
        <v>21</v>
      </c>
      <c r="AF253" s="5">
        <v>57</v>
      </c>
      <c r="AG253" s="5">
        <v>5</v>
      </c>
      <c r="AH253" s="5">
        <v>5</v>
      </c>
      <c r="AI253" s="5">
        <v>1</v>
      </c>
      <c r="AJ253" s="5">
        <v>15</v>
      </c>
      <c r="AK253" s="5" t="s">
        <v>2981</v>
      </c>
      <c r="AL253" s="5" t="s">
        <v>2982</v>
      </c>
      <c r="AM253" s="5" t="s">
        <v>3570</v>
      </c>
      <c r="AN253" s="5" t="s">
        <v>2984</v>
      </c>
      <c r="AO253" s="5" t="s">
        <v>21</v>
      </c>
      <c r="AP253" s="5" t="s">
        <v>21</v>
      </c>
      <c r="AQ253" s="5" t="s">
        <v>2985</v>
      </c>
      <c r="AR253" s="5" t="s">
        <v>2986</v>
      </c>
      <c r="AS253" s="5" t="s">
        <v>4917</v>
      </c>
      <c r="AT253" s="5">
        <v>2022</v>
      </c>
      <c r="AU253" s="5">
        <v>16</v>
      </c>
      <c r="AV253" s="5">
        <v>2</v>
      </c>
      <c r="AW253" s="5" t="s">
        <v>21</v>
      </c>
      <c r="AX253" s="5" t="s">
        <v>21</v>
      </c>
      <c r="AY253" s="5" t="s">
        <v>501</v>
      </c>
      <c r="AZ253" s="5" t="s">
        <v>21</v>
      </c>
      <c r="BA253" s="5">
        <v>124</v>
      </c>
      <c r="BB253" s="5">
        <v>140</v>
      </c>
      <c r="BC253" s="5" t="s">
        <v>21</v>
      </c>
      <c r="BD253" s="5" t="s">
        <v>4918</v>
      </c>
      <c r="BE253" s="5" t="str">
        <f>HYPERLINK("http://dx.doi.org/10.1108/JET-01-2022-0010","http://dx.doi.org/10.1108/JET-01-2022-0010")</f>
        <v>http://dx.doi.org/10.1108/JET-01-2022-0010</v>
      </c>
      <c r="BF253" s="5" t="s">
        <v>21</v>
      </c>
      <c r="BG253" s="5" t="s">
        <v>3439</v>
      </c>
      <c r="BH253" s="5">
        <v>17</v>
      </c>
      <c r="BI253" s="5" t="s">
        <v>2990</v>
      </c>
      <c r="BJ253" s="5" t="s">
        <v>1907</v>
      </c>
      <c r="BK253" s="5" t="s">
        <v>2990</v>
      </c>
      <c r="BL253" s="5" t="s">
        <v>4919</v>
      </c>
      <c r="BM253" s="5" t="s">
        <v>21</v>
      </c>
      <c r="BN253" s="5" t="s">
        <v>21</v>
      </c>
      <c r="BO253" s="5" t="s">
        <v>21</v>
      </c>
      <c r="BP253" s="5" t="s">
        <v>21</v>
      </c>
      <c r="BQ253" s="5" t="s">
        <v>49</v>
      </c>
      <c r="BR253" s="5" t="s">
        <v>4920</v>
      </c>
      <c r="BS253" s="5" t="str">
        <f>HYPERLINK("https%3A%2F%2Fwww.webofscience.com%2Fwos%2Fwoscc%2Ffull-record%2FWOS:000778220100001","View Full Record in Web of Science")</f>
        <v>View Full Record in Web of Science</v>
      </c>
    </row>
    <row r="254" spans="1:71" x14ac:dyDescent="0.25">
      <c r="A254" t="s">
        <v>19</v>
      </c>
      <c r="B254" s="5" t="s">
        <v>4921</v>
      </c>
      <c r="C254" s="5" t="s">
        <v>21</v>
      </c>
      <c r="D254" s="5" t="s">
        <v>21</v>
      </c>
      <c r="E254" s="5" t="s">
        <v>21</v>
      </c>
      <c r="F254" s="5" t="s">
        <v>4922</v>
      </c>
      <c r="G254" s="5" t="s">
        <v>21</v>
      </c>
      <c r="H254" s="5" t="s">
        <v>21</v>
      </c>
      <c r="I254" s="5" t="s">
        <v>4923</v>
      </c>
      <c r="J254" s="12" t="s">
        <v>4924</v>
      </c>
      <c r="K254" s="5" t="s">
        <v>21</v>
      </c>
      <c r="L254" s="5" t="s">
        <v>21</v>
      </c>
      <c r="M254" s="5" t="s">
        <v>25</v>
      </c>
      <c r="N254" s="5" t="s">
        <v>2836</v>
      </c>
      <c r="O254" s="5" t="s">
        <v>21</v>
      </c>
      <c r="P254" s="5" t="s">
        <v>21</v>
      </c>
      <c r="Q254" s="5" t="s">
        <v>21</v>
      </c>
      <c r="R254" s="5" t="s">
        <v>21</v>
      </c>
      <c r="S254" s="5" t="s">
        <v>21</v>
      </c>
      <c r="T254" s="5" t="s">
        <v>4925</v>
      </c>
      <c r="U254" s="5" t="s">
        <v>4926</v>
      </c>
      <c r="V254" s="5" t="s">
        <v>4927</v>
      </c>
      <c r="W254" s="5" t="s">
        <v>4928</v>
      </c>
      <c r="X254" s="5" t="s">
        <v>4929</v>
      </c>
      <c r="Y254" s="5" t="s">
        <v>4930</v>
      </c>
      <c r="Z254" s="5" t="s">
        <v>4931</v>
      </c>
      <c r="AA254" s="5" t="s">
        <v>4932</v>
      </c>
      <c r="AB254" s="5" t="s">
        <v>21</v>
      </c>
      <c r="AC254" s="5" t="s">
        <v>4933</v>
      </c>
      <c r="AD254" s="5" t="s">
        <v>4934</v>
      </c>
      <c r="AE254" s="5" t="s">
        <v>4935</v>
      </c>
      <c r="AF254" s="5">
        <v>26</v>
      </c>
      <c r="AG254" s="5">
        <v>5</v>
      </c>
      <c r="AH254" s="5">
        <v>5</v>
      </c>
      <c r="AI254" s="5">
        <v>2</v>
      </c>
      <c r="AJ254" s="5">
        <v>30</v>
      </c>
      <c r="AK254" s="5" t="s">
        <v>2706</v>
      </c>
      <c r="AL254" s="5" t="s">
        <v>494</v>
      </c>
      <c r="AM254" s="5" t="s">
        <v>2707</v>
      </c>
      <c r="AN254" s="5" t="s">
        <v>4936</v>
      </c>
      <c r="AO254" s="5" t="s">
        <v>4937</v>
      </c>
      <c r="AP254" s="5" t="s">
        <v>21</v>
      </c>
      <c r="AQ254" s="5" t="s">
        <v>4938</v>
      </c>
      <c r="AR254" s="5" t="s">
        <v>4939</v>
      </c>
      <c r="AS254" s="5" t="s">
        <v>4940</v>
      </c>
      <c r="AT254" s="5">
        <v>2021</v>
      </c>
      <c r="AU254" s="5" t="s">
        <v>21</v>
      </c>
      <c r="AV254" s="5" t="s">
        <v>21</v>
      </c>
      <c r="AW254" s="5" t="s">
        <v>21</v>
      </c>
      <c r="AX254" s="5" t="s">
        <v>21</v>
      </c>
      <c r="AY254" s="5" t="s">
        <v>21</v>
      </c>
      <c r="AZ254" s="5" t="s">
        <v>21</v>
      </c>
      <c r="BA254" s="5" t="s">
        <v>21</v>
      </c>
      <c r="BB254" s="5" t="s">
        <v>21</v>
      </c>
      <c r="BC254" s="5" t="s">
        <v>21</v>
      </c>
      <c r="BD254" s="5" t="s">
        <v>4941</v>
      </c>
      <c r="BE254" s="5" t="str">
        <f>HYPERLINK("http://dx.doi.org/10.1080/12460125.2021.2003512","http://dx.doi.org/10.1080/12460125.2021.2003512")</f>
        <v>http://dx.doi.org/10.1080/12460125.2021.2003512</v>
      </c>
      <c r="BF254" s="5" t="s">
        <v>21</v>
      </c>
      <c r="BG254" s="5" t="s">
        <v>4942</v>
      </c>
      <c r="BH254" s="5">
        <v>18</v>
      </c>
      <c r="BI254" s="5" t="s">
        <v>4943</v>
      </c>
      <c r="BJ254" s="5" t="s">
        <v>1907</v>
      </c>
      <c r="BK254" s="5" t="s">
        <v>4943</v>
      </c>
      <c r="BL254" s="5" t="s">
        <v>4944</v>
      </c>
      <c r="BM254" s="5" t="s">
        <v>21</v>
      </c>
      <c r="BN254" s="5" t="s">
        <v>21</v>
      </c>
      <c r="BO254" s="5" t="s">
        <v>21</v>
      </c>
      <c r="BP254" s="5" t="s">
        <v>21</v>
      </c>
      <c r="BQ254" s="5" t="s">
        <v>49</v>
      </c>
      <c r="BR254" s="5" t="s">
        <v>4945</v>
      </c>
      <c r="BS254" s="5" t="str">
        <f>HYPERLINK("https%3A%2F%2Fwww.webofscience.com%2Fwos%2Fwoscc%2Ffull-record%2FWOS:000732577900001","View Full Record in Web of Science")</f>
        <v>View Full Record in Web of Science</v>
      </c>
    </row>
    <row r="255" spans="1:71" x14ac:dyDescent="0.25">
      <c r="A255" t="s">
        <v>19</v>
      </c>
      <c r="B255" s="5" t="s">
        <v>4946</v>
      </c>
      <c r="C255" s="5" t="s">
        <v>21</v>
      </c>
      <c r="D255" s="5" t="s">
        <v>21</v>
      </c>
      <c r="E255" s="5" t="s">
        <v>21</v>
      </c>
      <c r="F255" s="5" t="s">
        <v>4947</v>
      </c>
      <c r="G255" s="5" t="s">
        <v>21</v>
      </c>
      <c r="H255" s="5" t="s">
        <v>21</v>
      </c>
      <c r="I255" s="5" t="s">
        <v>4948</v>
      </c>
      <c r="J255" s="12" t="s">
        <v>4949</v>
      </c>
      <c r="K255" s="5" t="s">
        <v>21</v>
      </c>
      <c r="L255" s="5" t="s">
        <v>21</v>
      </c>
      <c r="M255" s="5" t="s">
        <v>25</v>
      </c>
      <c r="N255" s="5" t="s">
        <v>76</v>
      </c>
      <c r="O255" s="5" t="s">
        <v>21</v>
      </c>
      <c r="P255" s="5" t="s">
        <v>21</v>
      </c>
      <c r="Q255" s="5" t="s">
        <v>21</v>
      </c>
      <c r="R255" s="5" t="s">
        <v>21</v>
      </c>
      <c r="S255" s="5" t="s">
        <v>21</v>
      </c>
      <c r="T255" s="5" t="s">
        <v>4950</v>
      </c>
      <c r="U255" s="5" t="s">
        <v>4951</v>
      </c>
      <c r="V255" s="5" t="s">
        <v>4952</v>
      </c>
      <c r="W255" s="5" t="s">
        <v>4953</v>
      </c>
      <c r="X255" s="5" t="s">
        <v>4954</v>
      </c>
      <c r="Y255" s="5" t="s">
        <v>4955</v>
      </c>
      <c r="Z255" s="5" t="s">
        <v>4956</v>
      </c>
      <c r="AA255" s="5" t="s">
        <v>4957</v>
      </c>
      <c r="AB255" s="5" t="s">
        <v>4958</v>
      </c>
      <c r="AC255" s="5" t="s">
        <v>4959</v>
      </c>
      <c r="AD255" s="5" t="s">
        <v>4960</v>
      </c>
      <c r="AE255" s="5" t="s">
        <v>4961</v>
      </c>
      <c r="AF255" s="5">
        <v>81</v>
      </c>
      <c r="AG255" s="5">
        <v>5</v>
      </c>
      <c r="AH255" s="5">
        <v>7</v>
      </c>
      <c r="AI255" s="5">
        <v>2</v>
      </c>
      <c r="AJ255" s="5">
        <v>33</v>
      </c>
      <c r="AK255" s="5" t="s">
        <v>4962</v>
      </c>
      <c r="AL255" s="5" t="s">
        <v>4963</v>
      </c>
      <c r="AM255" s="5" t="s">
        <v>4964</v>
      </c>
      <c r="AN255" s="5" t="s">
        <v>4965</v>
      </c>
      <c r="AO255" s="5" t="s">
        <v>21</v>
      </c>
      <c r="AP255" s="5" t="s">
        <v>21</v>
      </c>
      <c r="AQ255" s="5" t="s">
        <v>4966</v>
      </c>
      <c r="AR255" s="5" t="s">
        <v>4967</v>
      </c>
      <c r="AS255" s="5" t="s">
        <v>4968</v>
      </c>
      <c r="AT255" s="5">
        <v>2021</v>
      </c>
      <c r="AU255" s="5">
        <v>11</v>
      </c>
      <c r="AV255" s="5">
        <v>11</v>
      </c>
      <c r="AW255" s="5" t="s">
        <v>21</v>
      </c>
      <c r="AX255" s="5" t="s">
        <v>21</v>
      </c>
      <c r="AY255" s="5" t="s">
        <v>21</v>
      </c>
      <c r="AZ255" s="5" t="s">
        <v>21</v>
      </c>
      <c r="BA255" s="5">
        <v>1017</v>
      </c>
      <c r="BB255" s="5">
        <v>1026</v>
      </c>
      <c r="BC255" s="5" t="s">
        <v>21</v>
      </c>
      <c r="BD255" s="5" t="s">
        <v>4969</v>
      </c>
      <c r="BE255" s="5" t="str">
        <f>HYPERLINK("http://dx.doi.org/10.5498/wjp.v11.i11.1017","http://dx.doi.org/10.5498/wjp.v11.i11.1017")</f>
        <v>http://dx.doi.org/10.5498/wjp.v11.i11.1017</v>
      </c>
      <c r="BF255" s="5" t="s">
        <v>21</v>
      </c>
      <c r="BG255" s="5" t="s">
        <v>21</v>
      </c>
      <c r="BH255" s="5">
        <v>10</v>
      </c>
      <c r="BI255" s="5" t="s">
        <v>161</v>
      </c>
      <c r="BJ255" s="5" t="s">
        <v>92</v>
      </c>
      <c r="BK255" s="5" t="s">
        <v>161</v>
      </c>
      <c r="BL255" s="5" t="s">
        <v>4970</v>
      </c>
      <c r="BM255" s="5">
        <v>34888170</v>
      </c>
      <c r="BN255" s="5" t="s">
        <v>864</v>
      </c>
      <c r="BO255" s="5" t="s">
        <v>21</v>
      </c>
      <c r="BP255" s="5" t="s">
        <v>21</v>
      </c>
      <c r="BQ255" s="5" t="s">
        <v>49</v>
      </c>
      <c r="BR255" s="5" t="s">
        <v>4971</v>
      </c>
      <c r="BS255" s="5" t="str">
        <f>HYPERLINK("https%3A%2F%2Fwww.webofscience.com%2Fwos%2Fwoscc%2Ffull-record%2FWOS:000726900300006","View Full Record in Web of Science")</f>
        <v>View Full Record in Web of Science</v>
      </c>
    </row>
    <row r="256" spans="1:71" x14ac:dyDescent="0.25">
      <c r="A256" t="s">
        <v>19</v>
      </c>
      <c r="B256" s="5" t="s">
        <v>4972</v>
      </c>
      <c r="C256" s="5" t="s">
        <v>21</v>
      </c>
      <c r="D256" s="5" t="s">
        <v>21</v>
      </c>
      <c r="E256" s="5" t="s">
        <v>21</v>
      </c>
      <c r="F256" s="5" t="s">
        <v>4973</v>
      </c>
      <c r="G256" s="5" t="s">
        <v>21</v>
      </c>
      <c r="H256" s="5" t="s">
        <v>21</v>
      </c>
      <c r="I256" s="5" t="s">
        <v>4974</v>
      </c>
      <c r="J256" s="12" t="s">
        <v>869</v>
      </c>
      <c r="K256" s="5" t="s">
        <v>21</v>
      </c>
      <c r="L256" s="5" t="s">
        <v>21</v>
      </c>
      <c r="M256" s="5" t="s">
        <v>25</v>
      </c>
      <c r="N256" s="5" t="s">
        <v>26</v>
      </c>
      <c r="O256" s="5" t="s">
        <v>21</v>
      </c>
      <c r="P256" s="5" t="s">
        <v>21</v>
      </c>
      <c r="Q256" s="5" t="s">
        <v>21</v>
      </c>
      <c r="R256" s="5" t="s">
        <v>21</v>
      </c>
      <c r="S256" s="5" t="s">
        <v>21</v>
      </c>
      <c r="T256" s="5" t="s">
        <v>4975</v>
      </c>
      <c r="U256" s="5" t="s">
        <v>4976</v>
      </c>
      <c r="V256" s="5" t="s">
        <v>4977</v>
      </c>
      <c r="W256" s="5" t="s">
        <v>4978</v>
      </c>
      <c r="X256" s="5" t="s">
        <v>4979</v>
      </c>
      <c r="Y256" s="5" t="s">
        <v>4980</v>
      </c>
      <c r="Z256" s="5" t="s">
        <v>4981</v>
      </c>
      <c r="AA256" s="5" t="s">
        <v>4982</v>
      </c>
      <c r="AB256" s="5" t="s">
        <v>4983</v>
      </c>
      <c r="AC256" s="5" t="s">
        <v>4984</v>
      </c>
      <c r="AD256" s="5" t="s">
        <v>4984</v>
      </c>
      <c r="AE256" s="5" t="s">
        <v>4985</v>
      </c>
      <c r="AF256" s="5">
        <v>15</v>
      </c>
      <c r="AG256" s="5">
        <v>5</v>
      </c>
      <c r="AH256" s="5">
        <v>6</v>
      </c>
      <c r="AI256" s="5">
        <v>4</v>
      </c>
      <c r="AJ256" s="5">
        <v>44</v>
      </c>
      <c r="AK256" s="5" t="s">
        <v>733</v>
      </c>
      <c r="AL256" s="5" t="s">
        <v>734</v>
      </c>
      <c r="AM256" s="5" t="s">
        <v>735</v>
      </c>
      <c r="AN256" s="5" t="s">
        <v>881</v>
      </c>
      <c r="AO256" s="5" t="s">
        <v>882</v>
      </c>
      <c r="AP256" s="5" t="s">
        <v>21</v>
      </c>
      <c r="AQ256" s="5" t="s">
        <v>883</v>
      </c>
      <c r="AR256" s="5" t="s">
        <v>884</v>
      </c>
      <c r="AS256" s="5" t="s">
        <v>89</v>
      </c>
      <c r="AT256" s="5">
        <v>2021</v>
      </c>
      <c r="AU256" s="5">
        <v>36</v>
      </c>
      <c r="AV256" s="5">
        <v>2</v>
      </c>
      <c r="AW256" s="5" t="s">
        <v>21</v>
      </c>
      <c r="AX256" s="5" t="s">
        <v>21</v>
      </c>
      <c r="AY256" s="5" t="s">
        <v>501</v>
      </c>
      <c r="AZ256" s="5" t="s">
        <v>21</v>
      </c>
      <c r="BA256" s="5">
        <v>97</v>
      </c>
      <c r="BB256" s="5">
        <v>104</v>
      </c>
      <c r="BC256" s="5">
        <v>162643421996327</v>
      </c>
      <c r="BD256" s="5" t="s">
        <v>4986</v>
      </c>
      <c r="BE256" s="5" t="str">
        <f>HYPERLINK("http://dx.doi.org/10.1177/0162643421996327","http://dx.doi.org/10.1177/0162643421996327")</f>
        <v>http://dx.doi.org/10.1177/0162643421996327</v>
      </c>
      <c r="BF256" s="5" t="s">
        <v>21</v>
      </c>
      <c r="BG256" s="5" t="s">
        <v>2734</v>
      </c>
      <c r="BH256" s="5">
        <v>8</v>
      </c>
      <c r="BI256" s="5" t="s">
        <v>887</v>
      </c>
      <c r="BJ256" s="5" t="s">
        <v>45</v>
      </c>
      <c r="BK256" s="5" t="s">
        <v>888</v>
      </c>
      <c r="BL256" s="5" t="s">
        <v>4987</v>
      </c>
      <c r="BM256" s="5" t="s">
        <v>21</v>
      </c>
      <c r="BN256" s="5" t="s">
        <v>21</v>
      </c>
      <c r="BO256" s="5" t="s">
        <v>21</v>
      </c>
      <c r="BP256" s="5" t="s">
        <v>21</v>
      </c>
      <c r="BQ256" s="5" t="s">
        <v>49</v>
      </c>
      <c r="BR256" s="5" t="s">
        <v>4988</v>
      </c>
      <c r="BS256" s="5" t="str">
        <f>HYPERLINK("https%3A%2F%2Fwww.webofscience.com%2Fwos%2Fwoscc%2Ffull-record%2FWOS:000624233700001","View Full Record in Web of Science")</f>
        <v>View Full Record in Web of Science</v>
      </c>
    </row>
    <row r="257" spans="1:71" x14ac:dyDescent="0.25">
      <c r="A257" t="s">
        <v>19</v>
      </c>
      <c r="B257" s="5" t="s">
        <v>4989</v>
      </c>
      <c r="C257" s="5" t="s">
        <v>21</v>
      </c>
      <c r="D257" s="5" t="s">
        <v>21</v>
      </c>
      <c r="E257" s="5" t="s">
        <v>21</v>
      </c>
      <c r="F257" s="5" t="s">
        <v>4990</v>
      </c>
      <c r="G257" s="5" t="s">
        <v>21</v>
      </c>
      <c r="H257" s="5" t="s">
        <v>21</v>
      </c>
      <c r="I257" s="5" t="s">
        <v>4991</v>
      </c>
      <c r="J257" s="12" t="s">
        <v>4118</v>
      </c>
      <c r="K257" s="5" t="s">
        <v>21</v>
      </c>
      <c r="L257" s="5" t="s">
        <v>21</v>
      </c>
      <c r="M257" s="5" t="s">
        <v>3664</v>
      </c>
      <c r="N257" s="5" t="s">
        <v>76</v>
      </c>
      <c r="O257" s="5" t="s">
        <v>21</v>
      </c>
      <c r="P257" s="5" t="s">
        <v>21</v>
      </c>
      <c r="Q257" s="5" t="s">
        <v>21</v>
      </c>
      <c r="R257" s="5" t="s">
        <v>21</v>
      </c>
      <c r="S257" s="5" t="s">
        <v>21</v>
      </c>
      <c r="T257" s="5" t="s">
        <v>4992</v>
      </c>
      <c r="U257" s="5" t="s">
        <v>4993</v>
      </c>
      <c r="V257" s="5" t="s">
        <v>4994</v>
      </c>
      <c r="W257" s="5" t="s">
        <v>4995</v>
      </c>
      <c r="X257" s="5" t="s">
        <v>1284</v>
      </c>
      <c r="Y257" s="5" t="s">
        <v>4996</v>
      </c>
      <c r="Z257" s="5" t="s">
        <v>1711</v>
      </c>
      <c r="AA257" s="5" t="s">
        <v>4997</v>
      </c>
      <c r="AB257" s="5" t="s">
        <v>4998</v>
      </c>
      <c r="AC257" s="5" t="s">
        <v>21</v>
      </c>
      <c r="AD257" s="5" t="s">
        <v>21</v>
      </c>
      <c r="AE257" s="5" t="s">
        <v>21</v>
      </c>
      <c r="AF257" s="5">
        <v>20</v>
      </c>
      <c r="AG257" s="5">
        <v>5</v>
      </c>
      <c r="AH257" s="5">
        <v>6</v>
      </c>
      <c r="AI257" s="5">
        <v>0</v>
      </c>
      <c r="AJ257" s="5">
        <v>24</v>
      </c>
      <c r="AK257" s="5" t="s">
        <v>4126</v>
      </c>
      <c r="AL257" s="5" t="s">
        <v>4127</v>
      </c>
      <c r="AM257" s="5" t="s">
        <v>4128</v>
      </c>
      <c r="AN257" s="5" t="s">
        <v>4129</v>
      </c>
      <c r="AO257" s="5" t="s">
        <v>4130</v>
      </c>
      <c r="AP257" s="5" t="s">
        <v>21</v>
      </c>
      <c r="AQ257" s="5" t="s">
        <v>4131</v>
      </c>
      <c r="AR257" s="5" t="s">
        <v>4132</v>
      </c>
      <c r="AS257" s="5" t="s">
        <v>176</v>
      </c>
      <c r="AT257" s="5">
        <v>2020</v>
      </c>
      <c r="AU257" s="5">
        <v>80</v>
      </c>
      <c r="AV257" s="5" t="s">
        <v>21</v>
      </c>
      <c r="AW257" s="5" t="s">
        <v>21</v>
      </c>
      <c r="AX257" s="5">
        <v>2</v>
      </c>
      <c r="AY257" s="5" t="s">
        <v>21</v>
      </c>
      <c r="AZ257" s="5" t="s">
        <v>21</v>
      </c>
      <c r="BA257" s="5">
        <v>31</v>
      </c>
      <c r="BB257" s="5">
        <v>36</v>
      </c>
      <c r="BC257" s="5" t="s">
        <v>21</v>
      </c>
      <c r="BD257" s="5" t="s">
        <v>21</v>
      </c>
      <c r="BE257" s="5" t="s">
        <v>21</v>
      </c>
      <c r="BF257" s="5" t="s">
        <v>21</v>
      </c>
      <c r="BG257" s="5" t="s">
        <v>21</v>
      </c>
      <c r="BH257" s="5">
        <v>6</v>
      </c>
      <c r="BI257" s="5" t="s">
        <v>1603</v>
      </c>
      <c r="BJ257" s="5" t="s">
        <v>92</v>
      </c>
      <c r="BK257" s="5" t="s">
        <v>1604</v>
      </c>
      <c r="BL257" s="5" t="s">
        <v>4999</v>
      </c>
      <c r="BM257" s="5">
        <v>32150710</v>
      </c>
      <c r="BN257" s="5" t="s">
        <v>21</v>
      </c>
      <c r="BO257" s="5" t="s">
        <v>21</v>
      </c>
      <c r="BP257" s="5" t="s">
        <v>21</v>
      </c>
      <c r="BQ257" s="5" t="s">
        <v>49</v>
      </c>
      <c r="BR257" s="5" t="s">
        <v>5000</v>
      </c>
      <c r="BS257" s="5" t="str">
        <f>HYPERLINK("https%3A%2F%2Fwww.webofscience.com%2Fwos%2Fwoscc%2Ffull-record%2FWOS:000584532700008","View Full Record in Web of Science")</f>
        <v>View Full Record in Web of Science</v>
      </c>
    </row>
    <row r="258" spans="1:71" x14ac:dyDescent="0.25">
      <c r="A258" t="s">
        <v>19</v>
      </c>
      <c r="B258" s="5" t="s">
        <v>5001</v>
      </c>
      <c r="C258" s="5" t="s">
        <v>21</v>
      </c>
      <c r="D258" s="5" t="s">
        <v>21</v>
      </c>
      <c r="E258" s="5" t="s">
        <v>21</v>
      </c>
      <c r="F258" s="5" t="s">
        <v>5002</v>
      </c>
      <c r="G258" s="5" t="s">
        <v>21</v>
      </c>
      <c r="H258" s="5" t="s">
        <v>21</v>
      </c>
      <c r="I258" s="5" t="s">
        <v>5003</v>
      </c>
      <c r="J258" s="12" t="s">
        <v>5004</v>
      </c>
      <c r="K258" s="5" t="s">
        <v>21</v>
      </c>
      <c r="L258" s="5" t="s">
        <v>21</v>
      </c>
      <c r="M258" s="5" t="s">
        <v>3664</v>
      </c>
      <c r="N258" s="5" t="s">
        <v>26</v>
      </c>
      <c r="O258" s="5" t="s">
        <v>21</v>
      </c>
      <c r="P258" s="5" t="s">
        <v>21</v>
      </c>
      <c r="Q258" s="5" t="s">
        <v>21</v>
      </c>
      <c r="R258" s="5" t="s">
        <v>21</v>
      </c>
      <c r="S258" s="5" t="s">
        <v>21</v>
      </c>
      <c r="T258" s="5" t="s">
        <v>5005</v>
      </c>
      <c r="U258" s="5" t="s">
        <v>5006</v>
      </c>
      <c r="V258" s="5" t="s">
        <v>5007</v>
      </c>
      <c r="W258" s="5" t="s">
        <v>5008</v>
      </c>
      <c r="X258" s="5" t="s">
        <v>3565</v>
      </c>
      <c r="Y258" s="5" t="s">
        <v>5009</v>
      </c>
      <c r="Z258" s="5" t="s">
        <v>5010</v>
      </c>
      <c r="AA258" s="5" t="s">
        <v>5011</v>
      </c>
      <c r="AB258" s="5" t="s">
        <v>5012</v>
      </c>
      <c r="AC258" s="5" t="s">
        <v>21</v>
      </c>
      <c r="AD258" s="5" t="s">
        <v>21</v>
      </c>
      <c r="AE258" s="5" t="s">
        <v>21</v>
      </c>
      <c r="AF258" s="5">
        <v>47</v>
      </c>
      <c r="AG258" s="5">
        <v>5</v>
      </c>
      <c r="AH258" s="5">
        <v>5</v>
      </c>
      <c r="AI258" s="5">
        <v>2</v>
      </c>
      <c r="AJ258" s="5">
        <v>29</v>
      </c>
      <c r="AK258" s="5" t="s">
        <v>5013</v>
      </c>
      <c r="AL258" s="5" t="s">
        <v>5014</v>
      </c>
      <c r="AM258" s="5" t="s">
        <v>5015</v>
      </c>
      <c r="AN258" s="5" t="s">
        <v>5016</v>
      </c>
      <c r="AO258" s="5" t="s">
        <v>21</v>
      </c>
      <c r="AP258" s="5" t="s">
        <v>21</v>
      </c>
      <c r="AQ258" s="5" t="s">
        <v>5017</v>
      </c>
      <c r="AR258" s="5" t="s">
        <v>5018</v>
      </c>
      <c r="AS258" s="5" t="s">
        <v>5019</v>
      </c>
      <c r="AT258" s="5">
        <v>2020</v>
      </c>
      <c r="AU258" s="5">
        <v>21</v>
      </c>
      <c r="AV258" s="5" t="s">
        <v>21</v>
      </c>
      <c r="AW258" s="5" t="s">
        <v>21</v>
      </c>
      <c r="AX258" s="5" t="s">
        <v>21</v>
      </c>
      <c r="AY258" s="5" t="s">
        <v>21</v>
      </c>
      <c r="AZ258" s="5" t="s">
        <v>21</v>
      </c>
      <c r="BA258" s="5" t="s">
        <v>21</v>
      </c>
      <c r="BB258" s="5" t="s">
        <v>21</v>
      </c>
      <c r="BC258" s="5">
        <v>4</v>
      </c>
      <c r="BD258" s="5" t="s">
        <v>5020</v>
      </c>
      <c r="BE258" s="5" t="str">
        <f>HYPERLINK("http://dx.doi.org/10.14201/eks.19522","http://dx.doi.org/10.14201/eks.19522")</f>
        <v>http://dx.doi.org/10.14201/eks.19522</v>
      </c>
      <c r="BF258" s="5" t="s">
        <v>21</v>
      </c>
      <c r="BG258" s="5" t="s">
        <v>21</v>
      </c>
      <c r="BH258" s="5">
        <v>14</v>
      </c>
      <c r="BI258" s="5" t="s">
        <v>503</v>
      </c>
      <c r="BJ258" s="5" t="s">
        <v>1907</v>
      </c>
      <c r="BK258" s="5" t="s">
        <v>503</v>
      </c>
      <c r="BL258" s="5" t="s">
        <v>5021</v>
      </c>
      <c r="BM258" s="5" t="s">
        <v>21</v>
      </c>
      <c r="BN258" s="5" t="s">
        <v>5022</v>
      </c>
      <c r="BO258" s="5" t="s">
        <v>21</v>
      </c>
      <c r="BP258" s="5" t="s">
        <v>21</v>
      </c>
      <c r="BQ258" s="5" t="s">
        <v>49</v>
      </c>
      <c r="BR258" s="5" t="s">
        <v>5023</v>
      </c>
      <c r="BS258" s="5" t="str">
        <f>HYPERLINK("https%3A%2F%2Fwww.webofscience.com%2Fwos%2Fwoscc%2Ffull-record%2FWOS:000517936200001","View Full Record in Web of Science")</f>
        <v>View Full Record in Web of Science</v>
      </c>
    </row>
    <row r="259" spans="1:71" x14ac:dyDescent="0.25">
      <c r="A259" t="s">
        <v>19</v>
      </c>
      <c r="B259" s="5" t="s">
        <v>5024</v>
      </c>
      <c r="C259" s="5" t="s">
        <v>21</v>
      </c>
      <c r="D259" s="5" t="s">
        <v>21</v>
      </c>
      <c r="E259" s="5" t="s">
        <v>21</v>
      </c>
      <c r="F259" s="5" t="s">
        <v>5025</v>
      </c>
      <c r="G259" s="5" t="s">
        <v>21</v>
      </c>
      <c r="H259" s="5" t="s">
        <v>21</v>
      </c>
      <c r="I259" s="5" t="s">
        <v>5026</v>
      </c>
      <c r="J259" s="12" t="s">
        <v>550</v>
      </c>
      <c r="K259" s="5" t="s">
        <v>21</v>
      </c>
      <c r="L259" s="5" t="s">
        <v>21</v>
      </c>
      <c r="M259" s="5" t="s">
        <v>25</v>
      </c>
      <c r="N259" s="5" t="s">
        <v>26</v>
      </c>
      <c r="O259" s="5" t="s">
        <v>21</v>
      </c>
      <c r="P259" s="5" t="s">
        <v>21</v>
      </c>
      <c r="Q259" s="5" t="s">
        <v>21</v>
      </c>
      <c r="R259" s="5" t="s">
        <v>21</v>
      </c>
      <c r="S259" s="5" t="s">
        <v>21</v>
      </c>
      <c r="T259" s="5" t="s">
        <v>21</v>
      </c>
      <c r="U259" s="5" t="s">
        <v>5027</v>
      </c>
      <c r="V259" s="5" t="s">
        <v>5028</v>
      </c>
      <c r="W259" s="5" t="s">
        <v>5029</v>
      </c>
      <c r="X259" s="5" t="s">
        <v>5030</v>
      </c>
      <c r="Y259" s="5" t="s">
        <v>5031</v>
      </c>
      <c r="Z259" s="5" t="s">
        <v>5032</v>
      </c>
      <c r="AA259" s="5" t="s">
        <v>5033</v>
      </c>
      <c r="AB259" s="5" t="s">
        <v>5034</v>
      </c>
      <c r="AC259" s="5" t="s">
        <v>5035</v>
      </c>
      <c r="AD259" s="5" t="s">
        <v>5036</v>
      </c>
      <c r="AE259" s="5" t="s">
        <v>5037</v>
      </c>
      <c r="AF259" s="5">
        <v>51</v>
      </c>
      <c r="AG259" s="5">
        <v>4</v>
      </c>
      <c r="AH259" s="5">
        <v>4</v>
      </c>
      <c r="AI259" s="5">
        <v>9</v>
      </c>
      <c r="AJ259" s="5">
        <v>16</v>
      </c>
      <c r="AK259" s="5" t="s">
        <v>560</v>
      </c>
      <c r="AL259" s="5" t="s">
        <v>561</v>
      </c>
      <c r="AM259" s="5" t="s">
        <v>562</v>
      </c>
      <c r="AN259" s="5" t="s">
        <v>563</v>
      </c>
      <c r="AO259" s="5" t="s">
        <v>21</v>
      </c>
      <c r="AP259" s="5" t="s">
        <v>21</v>
      </c>
      <c r="AQ259" s="5" t="s">
        <v>550</v>
      </c>
      <c r="AR259" s="5" t="s">
        <v>564</v>
      </c>
      <c r="AS259" s="5" t="s">
        <v>5038</v>
      </c>
      <c r="AT259" s="5">
        <v>2024</v>
      </c>
      <c r="AU259" s="5">
        <v>19</v>
      </c>
      <c r="AV259" s="5">
        <v>4</v>
      </c>
      <c r="AW259" s="5" t="s">
        <v>21</v>
      </c>
      <c r="AX259" s="5" t="s">
        <v>21</v>
      </c>
      <c r="AY259" s="5" t="s">
        <v>21</v>
      </c>
      <c r="AZ259" s="5" t="s">
        <v>21</v>
      </c>
      <c r="BA259" s="5" t="s">
        <v>21</v>
      </c>
      <c r="BB259" s="5" t="s">
        <v>21</v>
      </c>
      <c r="BC259" s="5" t="s">
        <v>5039</v>
      </c>
      <c r="BD259" s="5" t="s">
        <v>5040</v>
      </c>
      <c r="BE259" s="5" t="str">
        <f>HYPERLINK("http://dx.doi.org/10.1371/journal.pone.0301517","http://dx.doi.org/10.1371/journal.pone.0301517")</f>
        <v>http://dx.doi.org/10.1371/journal.pone.0301517</v>
      </c>
      <c r="BF259" s="5" t="s">
        <v>21</v>
      </c>
      <c r="BG259" s="5" t="s">
        <v>21</v>
      </c>
      <c r="BH259" s="5">
        <v>17</v>
      </c>
      <c r="BI259" s="5" t="s">
        <v>568</v>
      </c>
      <c r="BJ259" s="5" t="s">
        <v>524</v>
      </c>
      <c r="BK259" s="5" t="s">
        <v>569</v>
      </c>
      <c r="BL259" s="5" t="s">
        <v>5041</v>
      </c>
      <c r="BM259" s="5">
        <v>38574084</v>
      </c>
      <c r="BN259" s="5" t="s">
        <v>1909</v>
      </c>
      <c r="BO259" s="5" t="s">
        <v>21</v>
      </c>
      <c r="BP259" s="5" t="s">
        <v>21</v>
      </c>
      <c r="BQ259" s="5" t="s">
        <v>49</v>
      </c>
      <c r="BR259" s="5" t="s">
        <v>5042</v>
      </c>
      <c r="BS259" s="5" t="str">
        <f>HYPERLINK("https%3A%2F%2Fwww.webofscience.com%2Fwos%2Fwoscc%2Ffull-record%2FWOS:001198272000105","View Full Record in Web of Science")</f>
        <v>View Full Record in Web of Science</v>
      </c>
    </row>
    <row r="260" spans="1:71" x14ac:dyDescent="0.25">
      <c r="A260" t="s">
        <v>19</v>
      </c>
      <c r="B260" s="5" t="s">
        <v>5043</v>
      </c>
      <c r="C260" s="5" t="s">
        <v>21</v>
      </c>
      <c r="D260" s="5" t="s">
        <v>21</v>
      </c>
      <c r="E260" s="5" t="s">
        <v>21</v>
      </c>
      <c r="F260" s="5" t="s">
        <v>5044</v>
      </c>
      <c r="G260" s="5" t="s">
        <v>21</v>
      </c>
      <c r="H260" s="5" t="s">
        <v>21</v>
      </c>
      <c r="I260" s="5" t="s">
        <v>5045</v>
      </c>
      <c r="J260" s="12" t="s">
        <v>5046</v>
      </c>
      <c r="K260" s="5" t="s">
        <v>21</v>
      </c>
      <c r="L260" s="5" t="s">
        <v>21</v>
      </c>
      <c r="M260" s="5" t="s">
        <v>25</v>
      </c>
      <c r="N260" s="5" t="s">
        <v>76</v>
      </c>
      <c r="O260" s="5" t="s">
        <v>21</v>
      </c>
      <c r="P260" s="5" t="s">
        <v>21</v>
      </c>
      <c r="Q260" s="5" t="s">
        <v>21</v>
      </c>
      <c r="R260" s="5" t="s">
        <v>21</v>
      </c>
      <c r="S260" s="5" t="s">
        <v>21</v>
      </c>
      <c r="T260" s="5" t="s">
        <v>5047</v>
      </c>
      <c r="U260" s="5" t="s">
        <v>5048</v>
      </c>
      <c r="V260" s="5" t="s">
        <v>5049</v>
      </c>
      <c r="W260" s="5" t="s">
        <v>5050</v>
      </c>
      <c r="X260" s="5" t="s">
        <v>5051</v>
      </c>
      <c r="Y260" s="5" t="s">
        <v>5052</v>
      </c>
      <c r="Z260" s="5" t="s">
        <v>5053</v>
      </c>
      <c r="AA260" s="5" t="s">
        <v>5054</v>
      </c>
      <c r="AB260" s="5" t="s">
        <v>5055</v>
      </c>
      <c r="AC260" s="5" t="s">
        <v>5056</v>
      </c>
      <c r="AD260" s="5" t="s">
        <v>5057</v>
      </c>
      <c r="AE260" s="5" t="s">
        <v>5058</v>
      </c>
      <c r="AF260" s="5">
        <v>93</v>
      </c>
      <c r="AG260" s="5">
        <v>4</v>
      </c>
      <c r="AH260" s="5">
        <v>6</v>
      </c>
      <c r="AI260" s="5">
        <v>28</v>
      </c>
      <c r="AJ260" s="5">
        <v>54</v>
      </c>
      <c r="AK260" s="5" t="s">
        <v>904</v>
      </c>
      <c r="AL260" s="5" t="s">
        <v>36</v>
      </c>
      <c r="AM260" s="5" t="s">
        <v>905</v>
      </c>
      <c r="AN260" s="5" t="s">
        <v>5059</v>
      </c>
      <c r="AO260" s="5" t="s">
        <v>5060</v>
      </c>
      <c r="AP260" s="5" t="s">
        <v>21</v>
      </c>
      <c r="AQ260" s="5" t="s">
        <v>5061</v>
      </c>
      <c r="AR260" s="5" t="s">
        <v>5062</v>
      </c>
      <c r="AS260" s="5" t="s">
        <v>199</v>
      </c>
      <c r="AT260" s="5">
        <v>2024</v>
      </c>
      <c r="AU260" s="5">
        <v>40</v>
      </c>
      <c r="AV260" s="5">
        <v>8</v>
      </c>
      <c r="AW260" s="5" t="s">
        <v>21</v>
      </c>
      <c r="AX260" s="5" t="s">
        <v>21</v>
      </c>
      <c r="AY260" s="5" t="s">
        <v>21</v>
      </c>
      <c r="AZ260" s="5" t="s">
        <v>21</v>
      </c>
      <c r="BA260" s="5">
        <v>1189</v>
      </c>
      <c r="BB260" s="5">
        <v>1204</v>
      </c>
      <c r="BC260" s="5" t="s">
        <v>21</v>
      </c>
      <c r="BD260" s="5" t="s">
        <v>5063</v>
      </c>
      <c r="BE260" s="5" t="str">
        <f>HYPERLINK("http://dx.doi.org/10.1007/s12264-024-01190-6","http://dx.doi.org/10.1007/s12264-024-01190-6")</f>
        <v>http://dx.doi.org/10.1007/s12264-024-01190-6</v>
      </c>
      <c r="BF260" s="5" t="s">
        <v>21</v>
      </c>
      <c r="BG260" s="5" t="s">
        <v>4583</v>
      </c>
      <c r="BH260" s="5">
        <v>16</v>
      </c>
      <c r="BI260" s="5" t="s">
        <v>1166</v>
      </c>
      <c r="BJ260" s="5" t="s">
        <v>524</v>
      </c>
      <c r="BK260" s="5" t="s">
        <v>1167</v>
      </c>
      <c r="BL260" s="5" t="s">
        <v>5064</v>
      </c>
      <c r="BM260" s="5">
        <v>38498091</v>
      </c>
      <c r="BN260" s="5" t="s">
        <v>21</v>
      </c>
      <c r="BO260" s="5" t="s">
        <v>21</v>
      </c>
      <c r="BP260" s="5" t="s">
        <v>21</v>
      </c>
      <c r="BQ260" s="5" t="s">
        <v>49</v>
      </c>
      <c r="BR260" s="5" t="s">
        <v>5065</v>
      </c>
      <c r="BS260" s="5" t="str">
        <f>HYPERLINK("https%3A%2F%2Fwww.webofscience.com%2Fwos%2Fwoscc%2Ffull-record%2FWOS:001186995900002","View Full Record in Web of Science")</f>
        <v>View Full Record in Web of Science</v>
      </c>
    </row>
    <row r="261" spans="1:71" x14ac:dyDescent="0.25">
      <c r="A261" t="s">
        <v>19</v>
      </c>
      <c r="B261" s="5" t="s">
        <v>5066</v>
      </c>
      <c r="C261" s="5" t="s">
        <v>21</v>
      </c>
      <c r="D261" s="5" t="s">
        <v>21</v>
      </c>
      <c r="E261" s="5" t="s">
        <v>21</v>
      </c>
      <c r="F261" s="5" t="s">
        <v>5067</v>
      </c>
      <c r="G261" s="5" t="s">
        <v>21</v>
      </c>
      <c r="H261" s="5" t="s">
        <v>21</v>
      </c>
      <c r="I261" s="5" t="s">
        <v>5068</v>
      </c>
      <c r="J261" s="12" t="s">
        <v>808</v>
      </c>
      <c r="K261" s="5" t="s">
        <v>21</v>
      </c>
      <c r="L261" s="5" t="s">
        <v>21</v>
      </c>
      <c r="M261" s="5" t="s">
        <v>25</v>
      </c>
      <c r="N261" s="5" t="s">
        <v>76</v>
      </c>
      <c r="O261" s="5" t="s">
        <v>21</v>
      </c>
      <c r="P261" s="5" t="s">
        <v>21</v>
      </c>
      <c r="Q261" s="5" t="s">
        <v>21</v>
      </c>
      <c r="R261" s="5" t="s">
        <v>21</v>
      </c>
      <c r="S261" s="5" t="s">
        <v>21</v>
      </c>
      <c r="T261" s="5" t="s">
        <v>5069</v>
      </c>
      <c r="U261" s="5" t="s">
        <v>5070</v>
      </c>
      <c r="V261" s="5" t="s">
        <v>5071</v>
      </c>
      <c r="W261" s="5" t="s">
        <v>5072</v>
      </c>
      <c r="X261" s="5" t="s">
        <v>5073</v>
      </c>
      <c r="Y261" s="5" t="s">
        <v>5074</v>
      </c>
      <c r="Z261" s="5" t="s">
        <v>5075</v>
      </c>
      <c r="AA261" s="5" t="s">
        <v>5076</v>
      </c>
      <c r="AB261" s="5" t="s">
        <v>5077</v>
      </c>
      <c r="AC261" s="5" t="s">
        <v>5078</v>
      </c>
      <c r="AD261" s="5" t="s">
        <v>5078</v>
      </c>
      <c r="AE261" s="5" t="s">
        <v>3987</v>
      </c>
      <c r="AF261" s="5">
        <v>48</v>
      </c>
      <c r="AG261" s="5">
        <v>4</v>
      </c>
      <c r="AH261" s="5">
        <v>4</v>
      </c>
      <c r="AI261" s="5">
        <v>9</v>
      </c>
      <c r="AJ261" s="5">
        <v>28</v>
      </c>
      <c r="AK261" s="5" t="s">
        <v>193</v>
      </c>
      <c r="AL261" s="5" t="s">
        <v>194</v>
      </c>
      <c r="AM261" s="5" t="s">
        <v>195</v>
      </c>
      <c r="AN261" s="5" t="s">
        <v>21</v>
      </c>
      <c r="AO261" s="5" t="s">
        <v>821</v>
      </c>
      <c r="AP261" s="5" t="s">
        <v>21</v>
      </c>
      <c r="AQ261" s="5" t="s">
        <v>822</v>
      </c>
      <c r="AR261" s="5" t="s">
        <v>823</v>
      </c>
      <c r="AS261" s="5" t="s">
        <v>334</v>
      </c>
      <c r="AT261" s="5">
        <v>2024</v>
      </c>
      <c r="AU261" s="5">
        <v>14</v>
      </c>
      <c r="AV261" s="5">
        <v>2</v>
      </c>
      <c r="AW261" s="5" t="s">
        <v>21</v>
      </c>
      <c r="AX261" s="5" t="s">
        <v>21</v>
      </c>
      <c r="AY261" s="5" t="s">
        <v>21</v>
      </c>
      <c r="AZ261" s="5" t="s">
        <v>21</v>
      </c>
      <c r="BA261" s="5" t="s">
        <v>21</v>
      </c>
      <c r="BB261" s="5" t="s">
        <v>21</v>
      </c>
      <c r="BC261" s="5">
        <v>82</v>
      </c>
      <c r="BD261" s="5" t="s">
        <v>5079</v>
      </c>
      <c r="BE261" s="5" t="str">
        <f>HYPERLINK("http://dx.doi.org/10.3390/bs14020082","http://dx.doi.org/10.3390/bs14020082")</f>
        <v>http://dx.doi.org/10.3390/bs14020082</v>
      </c>
      <c r="BF261" s="5" t="s">
        <v>21</v>
      </c>
      <c r="BG261" s="5" t="s">
        <v>21</v>
      </c>
      <c r="BH261" s="5">
        <v>18</v>
      </c>
      <c r="BI261" s="5" t="s">
        <v>825</v>
      </c>
      <c r="BJ261" s="5" t="s">
        <v>45</v>
      </c>
      <c r="BK261" s="5" t="s">
        <v>46</v>
      </c>
      <c r="BL261" s="5" t="s">
        <v>5080</v>
      </c>
      <c r="BM261" s="5">
        <v>38392435</v>
      </c>
      <c r="BN261" s="5" t="s">
        <v>163</v>
      </c>
      <c r="BO261" s="5" t="s">
        <v>21</v>
      </c>
      <c r="BP261" s="5" t="s">
        <v>21</v>
      </c>
      <c r="BQ261" s="5" t="s">
        <v>49</v>
      </c>
      <c r="BR261" s="5" t="s">
        <v>5081</v>
      </c>
      <c r="BS261" s="5" t="str">
        <f>HYPERLINK("https%3A%2F%2Fwww.webofscience.com%2Fwos%2Fwoscc%2Ffull-record%2FWOS:001168251700001","View Full Record in Web of Science")</f>
        <v>View Full Record in Web of Science</v>
      </c>
    </row>
    <row r="262" spans="1:71" x14ac:dyDescent="0.25">
      <c r="A262" t="s">
        <v>19</v>
      </c>
      <c r="B262" s="5" t="s">
        <v>5082</v>
      </c>
      <c r="C262" s="5" t="s">
        <v>21</v>
      </c>
      <c r="D262" s="5" t="s">
        <v>21</v>
      </c>
      <c r="E262" s="5" t="s">
        <v>21</v>
      </c>
      <c r="F262" s="5" t="s">
        <v>5083</v>
      </c>
      <c r="G262" s="5" t="s">
        <v>21</v>
      </c>
      <c r="H262" s="5" t="s">
        <v>21</v>
      </c>
      <c r="I262" s="5" t="s">
        <v>5084</v>
      </c>
      <c r="J262" s="12" t="s">
        <v>5085</v>
      </c>
      <c r="K262" s="5" t="s">
        <v>21</v>
      </c>
      <c r="L262" s="5" t="s">
        <v>21</v>
      </c>
      <c r="M262" s="5" t="s">
        <v>25</v>
      </c>
      <c r="N262" s="5" t="s">
        <v>26</v>
      </c>
      <c r="O262" s="5" t="s">
        <v>21</v>
      </c>
      <c r="P262" s="5" t="s">
        <v>21</v>
      </c>
      <c r="Q262" s="5" t="s">
        <v>21</v>
      </c>
      <c r="R262" s="5" t="s">
        <v>21</v>
      </c>
      <c r="S262" s="5" t="s">
        <v>21</v>
      </c>
      <c r="T262" s="5" t="s">
        <v>5086</v>
      </c>
      <c r="U262" s="5" t="s">
        <v>5087</v>
      </c>
      <c r="V262" s="5" t="s">
        <v>5088</v>
      </c>
      <c r="W262" s="5" t="s">
        <v>5089</v>
      </c>
      <c r="X262" s="5" t="s">
        <v>5090</v>
      </c>
      <c r="Y262" s="5" t="s">
        <v>5091</v>
      </c>
      <c r="Z262" s="5" t="s">
        <v>5092</v>
      </c>
      <c r="AA262" s="5" t="s">
        <v>5093</v>
      </c>
      <c r="AB262" s="5" t="s">
        <v>5094</v>
      </c>
      <c r="AC262" s="5" t="s">
        <v>21</v>
      </c>
      <c r="AD262" s="5" t="s">
        <v>21</v>
      </c>
      <c r="AE262" s="5" t="s">
        <v>21</v>
      </c>
      <c r="AF262" s="5">
        <v>51</v>
      </c>
      <c r="AG262" s="5">
        <v>4</v>
      </c>
      <c r="AH262" s="5">
        <v>4</v>
      </c>
      <c r="AI262" s="5">
        <v>12</v>
      </c>
      <c r="AJ262" s="5">
        <v>28</v>
      </c>
      <c r="AK262" s="5" t="s">
        <v>1319</v>
      </c>
      <c r="AL262" s="5" t="s">
        <v>1320</v>
      </c>
      <c r="AM262" s="5" t="s">
        <v>4420</v>
      </c>
      <c r="AN262" s="5" t="s">
        <v>21</v>
      </c>
      <c r="AO262" s="5" t="s">
        <v>5095</v>
      </c>
      <c r="AP262" s="5" t="s">
        <v>21</v>
      </c>
      <c r="AQ262" s="5" t="s">
        <v>5096</v>
      </c>
      <c r="AR262" s="5" t="s">
        <v>5097</v>
      </c>
      <c r="AS262" s="5" t="s">
        <v>21</v>
      </c>
      <c r="AT262" s="5">
        <v>2024</v>
      </c>
      <c r="AU262" s="5">
        <v>8</v>
      </c>
      <c r="AV262" s="5" t="s">
        <v>21</v>
      </c>
      <c r="AW262" s="5" t="s">
        <v>21</v>
      </c>
      <c r="AX262" s="5" t="s">
        <v>21</v>
      </c>
      <c r="AY262" s="5" t="s">
        <v>21</v>
      </c>
      <c r="AZ262" s="5" t="s">
        <v>21</v>
      </c>
      <c r="BA262" s="5" t="s">
        <v>21</v>
      </c>
      <c r="BB262" s="5" t="s">
        <v>21</v>
      </c>
      <c r="BC262" s="5" t="s">
        <v>5098</v>
      </c>
      <c r="BD262" s="5" t="s">
        <v>5099</v>
      </c>
      <c r="BE262" s="5" t="str">
        <f>HYPERLINK("http://dx.doi.org/10.2196/52157","http://dx.doi.org/10.2196/52157")</f>
        <v>http://dx.doi.org/10.2196/52157</v>
      </c>
      <c r="BF262" s="5" t="s">
        <v>21</v>
      </c>
      <c r="BG262" s="5" t="s">
        <v>21</v>
      </c>
      <c r="BH262" s="5">
        <v>14</v>
      </c>
      <c r="BI262" s="5" t="s">
        <v>4427</v>
      </c>
      <c r="BJ262" s="5" t="s">
        <v>1907</v>
      </c>
      <c r="BK262" s="5" t="s">
        <v>4427</v>
      </c>
      <c r="BL262" s="5" t="s">
        <v>5100</v>
      </c>
      <c r="BM262" s="5">
        <v>38206652</v>
      </c>
      <c r="BN262" s="5" t="s">
        <v>864</v>
      </c>
      <c r="BO262" s="5" t="s">
        <v>21</v>
      </c>
      <c r="BP262" s="5" t="s">
        <v>21</v>
      </c>
      <c r="BQ262" s="5" t="s">
        <v>49</v>
      </c>
      <c r="BR262" s="5" t="s">
        <v>5101</v>
      </c>
      <c r="BS262" s="5" t="str">
        <f>HYPERLINK("https%3A%2F%2Fwww.webofscience.com%2Fwos%2Fwoscc%2Ffull-record%2FWOS:001166052200002","View Full Record in Web of Science")</f>
        <v>View Full Record in Web of Science</v>
      </c>
    </row>
    <row r="263" spans="1:71" x14ac:dyDescent="0.25">
      <c r="A263" t="s">
        <v>19</v>
      </c>
      <c r="B263" s="5" t="s">
        <v>5102</v>
      </c>
      <c r="C263" s="5" t="s">
        <v>21</v>
      </c>
      <c r="D263" s="5" t="s">
        <v>21</v>
      </c>
      <c r="E263" s="5" t="s">
        <v>21</v>
      </c>
      <c r="F263" s="5" t="s">
        <v>5103</v>
      </c>
      <c r="G263" s="5" t="s">
        <v>21</v>
      </c>
      <c r="H263" s="5" t="s">
        <v>21</v>
      </c>
      <c r="I263" s="5" t="s">
        <v>5104</v>
      </c>
      <c r="J263" s="12" t="s">
        <v>2693</v>
      </c>
      <c r="K263" s="5" t="s">
        <v>21</v>
      </c>
      <c r="L263" s="5" t="s">
        <v>21</v>
      </c>
      <c r="M263" s="5" t="s">
        <v>25</v>
      </c>
      <c r="N263" s="5" t="s">
        <v>5105</v>
      </c>
      <c r="O263" s="5" t="s">
        <v>21</v>
      </c>
      <c r="P263" s="5" t="s">
        <v>21</v>
      </c>
      <c r="Q263" s="5" t="s">
        <v>21</v>
      </c>
      <c r="R263" s="5" t="s">
        <v>21</v>
      </c>
      <c r="S263" s="5" t="s">
        <v>21</v>
      </c>
      <c r="T263" s="5" t="s">
        <v>5106</v>
      </c>
      <c r="U263" s="5" t="s">
        <v>5107</v>
      </c>
      <c r="V263" s="5" t="s">
        <v>5108</v>
      </c>
      <c r="W263" s="5" t="s">
        <v>5109</v>
      </c>
      <c r="X263" s="5" t="s">
        <v>5110</v>
      </c>
      <c r="Y263" s="5" t="s">
        <v>5111</v>
      </c>
      <c r="Z263" s="5" t="s">
        <v>5112</v>
      </c>
      <c r="AA263" s="5" t="s">
        <v>5113</v>
      </c>
      <c r="AB263" s="5" t="s">
        <v>5114</v>
      </c>
      <c r="AC263" s="5" t="s">
        <v>21</v>
      </c>
      <c r="AD263" s="5" t="s">
        <v>21</v>
      </c>
      <c r="AE263" s="5" t="s">
        <v>21</v>
      </c>
      <c r="AF263" s="5">
        <v>98</v>
      </c>
      <c r="AG263" s="5">
        <v>4</v>
      </c>
      <c r="AH263" s="5">
        <v>4</v>
      </c>
      <c r="AI263" s="5">
        <v>19</v>
      </c>
      <c r="AJ263" s="5">
        <v>51</v>
      </c>
      <c r="AK263" s="5" t="s">
        <v>2706</v>
      </c>
      <c r="AL263" s="5" t="s">
        <v>494</v>
      </c>
      <c r="AM263" s="5" t="s">
        <v>2707</v>
      </c>
      <c r="AN263" s="5" t="s">
        <v>2708</v>
      </c>
      <c r="AO263" s="5" t="s">
        <v>2709</v>
      </c>
      <c r="AP263" s="5" t="s">
        <v>21</v>
      </c>
      <c r="AQ263" s="5" t="s">
        <v>2710</v>
      </c>
      <c r="AR263" s="5" t="s">
        <v>2711</v>
      </c>
      <c r="AS263" s="5" t="s">
        <v>5115</v>
      </c>
      <c r="AT263" s="5">
        <v>2023</v>
      </c>
      <c r="AU263" s="5" t="s">
        <v>21</v>
      </c>
      <c r="AV263" s="5" t="s">
        <v>21</v>
      </c>
      <c r="AW263" s="5" t="s">
        <v>21</v>
      </c>
      <c r="AX263" s="5" t="s">
        <v>21</v>
      </c>
      <c r="AY263" s="5" t="s">
        <v>21</v>
      </c>
      <c r="AZ263" s="5" t="s">
        <v>21</v>
      </c>
      <c r="BA263" s="5" t="s">
        <v>21</v>
      </c>
      <c r="BB263" s="5" t="s">
        <v>21</v>
      </c>
      <c r="BC263" s="5" t="s">
        <v>21</v>
      </c>
      <c r="BD263" s="5" t="s">
        <v>5116</v>
      </c>
      <c r="BE263" s="5" t="str">
        <f>HYPERLINK("http://dx.doi.org/10.1080/20473869.2023.2277604","http://dx.doi.org/10.1080/20473869.2023.2277604")</f>
        <v>http://dx.doi.org/10.1080/20473869.2023.2277604</v>
      </c>
      <c r="BF263" s="5" t="s">
        <v>21</v>
      </c>
      <c r="BG263" s="5" t="s">
        <v>5117</v>
      </c>
      <c r="BH263" s="5">
        <v>16</v>
      </c>
      <c r="BI263" s="5" t="s">
        <v>887</v>
      </c>
      <c r="BJ263" s="5" t="s">
        <v>45</v>
      </c>
      <c r="BK263" s="5" t="s">
        <v>888</v>
      </c>
      <c r="BL263" s="5" t="s">
        <v>5118</v>
      </c>
      <c r="BM263" s="5" t="s">
        <v>21</v>
      </c>
      <c r="BN263" s="5" t="s">
        <v>2205</v>
      </c>
      <c r="BO263" s="5" t="s">
        <v>21</v>
      </c>
      <c r="BP263" s="5" t="s">
        <v>21</v>
      </c>
      <c r="BQ263" s="5" t="s">
        <v>49</v>
      </c>
      <c r="BR263" s="5" t="s">
        <v>5119</v>
      </c>
      <c r="BS263" s="5" t="str">
        <f>HYPERLINK("https%3A%2F%2Fwww.webofscience.com%2Fwos%2Fwoscc%2Ffull-record%2FWOS:001116854400001","View Full Record in Web of Science")</f>
        <v>View Full Record in Web of Science</v>
      </c>
    </row>
    <row r="264" spans="1:71" x14ac:dyDescent="0.25">
      <c r="A264" t="s">
        <v>19</v>
      </c>
      <c r="B264" s="5" t="s">
        <v>5120</v>
      </c>
      <c r="C264" s="5" t="s">
        <v>21</v>
      </c>
      <c r="D264" s="5" t="s">
        <v>21</v>
      </c>
      <c r="E264" s="5" t="s">
        <v>21</v>
      </c>
      <c r="F264" s="5" t="s">
        <v>5121</v>
      </c>
      <c r="G264" s="5" t="s">
        <v>21</v>
      </c>
      <c r="H264" s="5" t="s">
        <v>21</v>
      </c>
      <c r="I264" s="5" t="s">
        <v>5122</v>
      </c>
      <c r="J264" s="12" t="s">
        <v>5123</v>
      </c>
      <c r="K264" s="5" t="s">
        <v>21</v>
      </c>
      <c r="L264" s="5" t="s">
        <v>21</v>
      </c>
      <c r="M264" s="5" t="s">
        <v>25</v>
      </c>
      <c r="N264" s="5" t="s">
        <v>26</v>
      </c>
      <c r="O264" s="5" t="s">
        <v>21</v>
      </c>
      <c r="P264" s="5" t="s">
        <v>21</v>
      </c>
      <c r="Q264" s="5" t="s">
        <v>21</v>
      </c>
      <c r="R264" s="5" t="s">
        <v>21</v>
      </c>
      <c r="S264" s="5" t="s">
        <v>21</v>
      </c>
      <c r="T264" s="5" t="s">
        <v>5124</v>
      </c>
      <c r="U264" s="5" t="s">
        <v>5125</v>
      </c>
      <c r="V264" s="5" t="s">
        <v>5126</v>
      </c>
      <c r="W264" s="5" t="s">
        <v>5127</v>
      </c>
      <c r="X264" s="5" t="s">
        <v>5128</v>
      </c>
      <c r="Y264" s="5" t="s">
        <v>5129</v>
      </c>
      <c r="Z264" s="5" t="s">
        <v>5130</v>
      </c>
      <c r="AA264" s="5" t="s">
        <v>5131</v>
      </c>
      <c r="AB264" s="5" t="s">
        <v>5132</v>
      </c>
      <c r="AC264" s="5" t="s">
        <v>21</v>
      </c>
      <c r="AD264" s="5" t="s">
        <v>21</v>
      </c>
      <c r="AE264" s="5" t="s">
        <v>21</v>
      </c>
      <c r="AF264" s="5">
        <v>36</v>
      </c>
      <c r="AG264" s="5">
        <v>4</v>
      </c>
      <c r="AH264" s="5">
        <v>4</v>
      </c>
      <c r="AI264" s="5">
        <v>5</v>
      </c>
      <c r="AJ264" s="5">
        <v>24</v>
      </c>
      <c r="AK264" s="5" t="s">
        <v>5133</v>
      </c>
      <c r="AL264" s="5" t="s">
        <v>5134</v>
      </c>
      <c r="AM264" s="5" t="s">
        <v>5135</v>
      </c>
      <c r="AN264" s="5" t="s">
        <v>5136</v>
      </c>
      <c r="AO264" s="5" t="s">
        <v>5137</v>
      </c>
      <c r="AP264" s="5" t="s">
        <v>21</v>
      </c>
      <c r="AQ264" s="5" t="s">
        <v>5138</v>
      </c>
      <c r="AR264" s="5" t="s">
        <v>5139</v>
      </c>
      <c r="AS264" s="5" t="s">
        <v>134</v>
      </c>
      <c r="AT264" s="5">
        <v>2023</v>
      </c>
      <c r="AU264" s="5">
        <v>23</v>
      </c>
      <c r="AV264" s="5">
        <v>2</v>
      </c>
      <c r="AW264" s="5" t="s">
        <v>21</v>
      </c>
      <c r="AX264" s="5" t="s">
        <v>21</v>
      </c>
      <c r="AY264" s="5" t="s">
        <v>21</v>
      </c>
      <c r="AZ264" s="5" t="s">
        <v>21</v>
      </c>
      <c r="BA264" s="5">
        <v>107</v>
      </c>
      <c r="BB264" s="5">
        <v>116</v>
      </c>
      <c r="BC264" s="5" t="s">
        <v>21</v>
      </c>
      <c r="BD264" s="5" t="s">
        <v>5140</v>
      </c>
      <c r="BE264" s="5" t="str">
        <f>HYPERLINK("http://dx.doi.org/10.24215/16666038.23.e09","http://dx.doi.org/10.24215/16666038.23.e09")</f>
        <v>http://dx.doi.org/10.24215/16666038.23.e09</v>
      </c>
      <c r="BF264" s="5" t="s">
        <v>21</v>
      </c>
      <c r="BG264" s="5" t="s">
        <v>21</v>
      </c>
      <c r="BH264" s="5">
        <v>10</v>
      </c>
      <c r="BI264" s="5" t="s">
        <v>1766</v>
      </c>
      <c r="BJ264" s="5" t="s">
        <v>1907</v>
      </c>
      <c r="BK264" s="5" t="s">
        <v>715</v>
      </c>
      <c r="BL264" s="5" t="s">
        <v>5141</v>
      </c>
      <c r="BM264" s="5" t="s">
        <v>21</v>
      </c>
      <c r="BN264" s="5" t="s">
        <v>1909</v>
      </c>
      <c r="BO264" s="5" t="s">
        <v>21</v>
      </c>
      <c r="BP264" s="5" t="s">
        <v>21</v>
      </c>
      <c r="BQ264" s="5" t="s">
        <v>49</v>
      </c>
      <c r="BR264" s="5" t="s">
        <v>5142</v>
      </c>
      <c r="BS264" s="5" t="str">
        <f>HYPERLINK("https%3A%2F%2Fwww.webofscience.com%2Fwos%2Fwoscc%2Ffull-record%2FWOS:001100342200002","View Full Record in Web of Science")</f>
        <v>View Full Record in Web of Science</v>
      </c>
    </row>
    <row r="265" spans="1:71" x14ac:dyDescent="0.25">
      <c r="A265" t="s">
        <v>19</v>
      </c>
      <c r="B265" s="5" t="s">
        <v>5143</v>
      </c>
      <c r="C265" s="5" t="s">
        <v>21</v>
      </c>
      <c r="D265" s="5" t="s">
        <v>21</v>
      </c>
      <c r="E265" s="5" t="s">
        <v>21</v>
      </c>
      <c r="F265" s="5" t="s">
        <v>5144</v>
      </c>
      <c r="G265" s="5" t="s">
        <v>21</v>
      </c>
      <c r="H265" s="5" t="s">
        <v>21</v>
      </c>
      <c r="I265" s="5" t="s">
        <v>5145</v>
      </c>
      <c r="J265" s="12" t="s">
        <v>183</v>
      </c>
      <c r="K265" s="5" t="s">
        <v>21</v>
      </c>
      <c r="L265" s="5" t="s">
        <v>21</v>
      </c>
      <c r="M265" s="5" t="s">
        <v>25</v>
      </c>
      <c r="N265" s="5" t="s">
        <v>26</v>
      </c>
      <c r="O265" s="5" t="s">
        <v>21</v>
      </c>
      <c r="P265" s="5" t="s">
        <v>21</v>
      </c>
      <c r="Q265" s="5" t="s">
        <v>21</v>
      </c>
      <c r="R265" s="5" t="s">
        <v>21</v>
      </c>
      <c r="S265" s="5" t="s">
        <v>21</v>
      </c>
      <c r="T265" s="5" t="s">
        <v>5146</v>
      </c>
      <c r="U265" s="5" t="s">
        <v>5147</v>
      </c>
      <c r="V265" s="5" t="s">
        <v>5148</v>
      </c>
      <c r="W265" s="5" t="s">
        <v>5149</v>
      </c>
      <c r="X265" s="5" t="s">
        <v>1085</v>
      </c>
      <c r="Y265" s="5" t="s">
        <v>5150</v>
      </c>
      <c r="Z265" s="5" t="s">
        <v>5151</v>
      </c>
      <c r="AA265" s="5" t="s">
        <v>21</v>
      </c>
      <c r="AB265" s="5" t="s">
        <v>5152</v>
      </c>
      <c r="AC265" s="5" t="s">
        <v>5153</v>
      </c>
      <c r="AD265" s="5" t="s">
        <v>5154</v>
      </c>
      <c r="AE265" s="5" t="s">
        <v>5155</v>
      </c>
      <c r="AF265" s="5">
        <v>37</v>
      </c>
      <c r="AG265" s="5">
        <v>4</v>
      </c>
      <c r="AH265" s="5">
        <v>4</v>
      </c>
      <c r="AI265" s="5">
        <v>5</v>
      </c>
      <c r="AJ265" s="5">
        <v>18</v>
      </c>
      <c r="AK265" s="5" t="s">
        <v>193</v>
      </c>
      <c r="AL265" s="5" t="s">
        <v>194</v>
      </c>
      <c r="AM265" s="5" t="s">
        <v>195</v>
      </c>
      <c r="AN265" s="5" t="s">
        <v>21</v>
      </c>
      <c r="AO265" s="5" t="s">
        <v>196</v>
      </c>
      <c r="AP265" s="5" t="s">
        <v>21</v>
      </c>
      <c r="AQ265" s="5" t="s">
        <v>197</v>
      </c>
      <c r="AR265" s="5" t="s">
        <v>198</v>
      </c>
      <c r="AS265" s="5" t="s">
        <v>782</v>
      </c>
      <c r="AT265" s="5">
        <v>2023</v>
      </c>
      <c r="AU265" s="5">
        <v>23</v>
      </c>
      <c r="AV265" s="5">
        <v>7</v>
      </c>
      <c r="AW265" s="5" t="s">
        <v>21</v>
      </c>
      <c r="AX265" s="5" t="s">
        <v>21</v>
      </c>
      <c r="AY265" s="5" t="s">
        <v>21</v>
      </c>
      <c r="AZ265" s="5" t="s">
        <v>21</v>
      </c>
      <c r="BA265" s="5" t="s">
        <v>21</v>
      </c>
      <c r="BB265" s="5" t="s">
        <v>21</v>
      </c>
      <c r="BC265" s="5">
        <v>3524</v>
      </c>
      <c r="BD265" s="5" t="s">
        <v>5156</v>
      </c>
      <c r="BE265" s="5" t="str">
        <f>HYPERLINK("http://dx.doi.org/10.3390/s23073524","http://dx.doi.org/10.3390/s23073524")</f>
        <v>http://dx.doi.org/10.3390/s23073524</v>
      </c>
      <c r="BF265" s="5" t="s">
        <v>21</v>
      </c>
      <c r="BG265" s="5" t="s">
        <v>21</v>
      </c>
      <c r="BH265" s="5">
        <v>13</v>
      </c>
      <c r="BI265" s="5" t="s">
        <v>201</v>
      </c>
      <c r="BJ265" s="5" t="s">
        <v>524</v>
      </c>
      <c r="BK265" s="5" t="s">
        <v>202</v>
      </c>
      <c r="BL265" s="5" t="s">
        <v>5157</v>
      </c>
      <c r="BM265" s="5">
        <v>37050584</v>
      </c>
      <c r="BN265" s="5" t="s">
        <v>864</v>
      </c>
      <c r="BO265" s="5" t="s">
        <v>21</v>
      </c>
      <c r="BP265" s="5" t="s">
        <v>21</v>
      </c>
      <c r="BQ265" s="5" t="s">
        <v>49</v>
      </c>
      <c r="BR265" s="5" t="s">
        <v>5158</v>
      </c>
      <c r="BS265" s="5" t="str">
        <f>HYPERLINK("https%3A%2F%2Fwww.webofscience.com%2Fwos%2Fwoscc%2Ffull-record%2FWOS:000970404600001","View Full Record in Web of Science")</f>
        <v>View Full Record in Web of Science</v>
      </c>
    </row>
    <row r="266" spans="1:71" x14ac:dyDescent="0.25">
      <c r="A266" t="s">
        <v>19</v>
      </c>
      <c r="B266" s="5" t="s">
        <v>5159</v>
      </c>
      <c r="C266" s="5" t="s">
        <v>21</v>
      </c>
      <c r="D266" s="5" t="s">
        <v>21</v>
      </c>
      <c r="E266" s="5" t="s">
        <v>21</v>
      </c>
      <c r="F266" s="5" t="s">
        <v>5160</v>
      </c>
      <c r="G266" s="5" t="s">
        <v>21</v>
      </c>
      <c r="H266" s="5" t="s">
        <v>21</v>
      </c>
      <c r="I266" s="5" t="s">
        <v>5161</v>
      </c>
      <c r="J266" s="12" t="s">
        <v>1307</v>
      </c>
      <c r="K266" s="5" t="s">
        <v>21</v>
      </c>
      <c r="L266" s="5" t="s">
        <v>21</v>
      </c>
      <c r="M266" s="5" t="s">
        <v>25</v>
      </c>
      <c r="N266" s="5" t="s">
        <v>26</v>
      </c>
      <c r="O266" s="5" t="s">
        <v>21</v>
      </c>
      <c r="P266" s="5" t="s">
        <v>21</v>
      </c>
      <c r="Q266" s="5" t="s">
        <v>21</v>
      </c>
      <c r="R266" s="5" t="s">
        <v>21</v>
      </c>
      <c r="S266" s="5" t="s">
        <v>21</v>
      </c>
      <c r="T266" s="5" t="s">
        <v>5162</v>
      </c>
      <c r="U266" s="5" t="s">
        <v>5163</v>
      </c>
      <c r="V266" s="5" t="s">
        <v>5164</v>
      </c>
      <c r="W266" s="5" t="s">
        <v>5165</v>
      </c>
      <c r="X266" s="5" t="s">
        <v>5166</v>
      </c>
      <c r="Y266" s="5" t="s">
        <v>5167</v>
      </c>
      <c r="Z266" s="5" t="s">
        <v>5168</v>
      </c>
      <c r="AA266" s="5" t="s">
        <v>5169</v>
      </c>
      <c r="AB266" s="5" t="s">
        <v>5170</v>
      </c>
      <c r="AC266" s="5" t="s">
        <v>5171</v>
      </c>
      <c r="AD266" s="5" t="s">
        <v>5172</v>
      </c>
      <c r="AE266" s="5" t="s">
        <v>5173</v>
      </c>
      <c r="AF266" s="5">
        <v>33</v>
      </c>
      <c r="AG266" s="5">
        <v>4</v>
      </c>
      <c r="AH266" s="5">
        <v>4</v>
      </c>
      <c r="AI266" s="5">
        <v>23</v>
      </c>
      <c r="AJ266" s="5">
        <v>50</v>
      </c>
      <c r="AK266" s="5" t="s">
        <v>1319</v>
      </c>
      <c r="AL266" s="5" t="s">
        <v>1320</v>
      </c>
      <c r="AM266" s="5" t="s">
        <v>4420</v>
      </c>
      <c r="AN266" s="5" t="s">
        <v>1322</v>
      </c>
      <c r="AO266" s="5" t="s">
        <v>21</v>
      </c>
      <c r="AP266" s="5" t="s">
        <v>21</v>
      </c>
      <c r="AQ266" s="5" t="s">
        <v>1307</v>
      </c>
      <c r="AR266" s="5" t="s">
        <v>1323</v>
      </c>
      <c r="AS266" s="5" t="s">
        <v>21</v>
      </c>
      <c r="AT266" s="5">
        <v>2023</v>
      </c>
      <c r="AU266" s="5">
        <v>11</v>
      </c>
      <c r="AV266" s="5" t="s">
        <v>21</v>
      </c>
      <c r="AW266" s="5" t="s">
        <v>21</v>
      </c>
      <c r="AX266" s="5" t="s">
        <v>21</v>
      </c>
      <c r="AY266" s="5" t="s">
        <v>21</v>
      </c>
      <c r="AZ266" s="5" t="s">
        <v>21</v>
      </c>
      <c r="BA266" s="5" t="s">
        <v>21</v>
      </c>
      <c r="BB266" s="5" t="s">
        <v>21</v>
      </c>
      <c r="BC266" s="5" t="s">
        <v>5174</v>
      </c>
      <c r="BD266" s="5" t="s">
        <v>5175</v>
      </c>
      <c r="BE266" s="5" t="str">
        <f>HYPERLINK("http://dx.doi.org/10.2196/51719","http://dx.doi.org/10.2196/51719")</f>
        <v>http://dx.doi.org/10.2196/51719</v>
      </c>
      <c r="BF266" s="5" t="s">
        <v>21</v>
      </c>
      <c r="BG266" s="5" t="s">
        <v>21</v>
      </c>
      <c r="BH266" s="5">
        <v>12</v>
      </c>
      <c r="BI266" s="5" t="s">
        <v>1326</v>
      </c>
      <c r="BJ266" s="5" t="s">
        <v>524</v>
      </c>
      <c r="BK266" s="5" t="s">
        <v>1326</v>
      </c>
      <c r="BL266" s="5" t="s">
        <v>5176</v>
      </c>
      <c r="BM266" s="5">
        <v>38064258</v>
      </c>
      <c r="BN266" s="5" t="s">
        <v>163</v>
      </c>
      <c r="BO266" s="5" t="s">
        <v>21</v>
      </c>
      <c r="BP266" s="5" t="s">
        <v>21</v>
      </c>
      <c r="BQ266" s="5" t="s">
        <v>49</v>
      </c>
      <c r="BR266" s="5" t="s">
        <v>5177</v>
      </c>
      <c r="BS266" s="5" t="str">
        <f>HYPERLINK("https%3A%2F%2Fwww.webofscience.com%2Fwos%2Fwoscc%2Ffull-record%2FWOS:001126303700001","View Full Record in Web of Science")</f>
        <v>View Full Record in Web of Science</v>
      </c>
    </row>
    <row r="267" spans="1:71" x14ac:dyDescent="0.25">
      <c r="A267" t="s">
        <v>19</v>
      </c>
      <c r="B267" s="5" t="s">
        <v>5178</v>
      </c>
      <c r="C267" s="5" t="s">
        <v>21</v>
      </c>
      <c r="D267" s="5" t="s">
        <v>21</v>
      </c>
      <c r="E267" s="5" t="s">
        <v>21</v>
      </c>
      <c r="F267" s="5" t="s">
        <v>5179</v>
      </c>
      <c r="G267" s="5" t="s">
        <v>21</v>
      </c>
      <c r="H267" s="5" t="s">
        <v>21</v>
      </c>
      <c r="I267" s="5" t="s">
        <v>5180</v>
      </c>
      <c r="J267" s="12" t="s">
        <v>5181</v>
      </c>
      <c r="K267" s="5" t="s">
        <v>21</v>
      </c>
      <c r="L267" s="5" t="s">
        <v>21</v>
      </c>
      <c r="M267" s="5" t="s">
        <v>25</v>
      </c>
      <c r="N267" s="5" t="s">
        <v>26</v>
      </c>
      <c r="O267" s="5" t="s">
        <v>21</v>
      </c>
      <c r="P267" s="5" t="s">
        <v>21</v>
      </c>
      <c r="Q267" s="5" t="s">
        <v>21</v>
      </c>
      <c r="R267" s="5" t="s">
        <v>21</v>
      </c>
      <c r="S267" s="5" t="s">
        <v>21</v>
      </c>
      <c r="T267" s="5" t="s">
        <v>21</v>
      </c>
      <c r="U267" s="5" t="s">
        <v>5182</v>
      </c>
      <c r="V267" s="5" t="s">
        <v>5183</v>
      </c>
      <c r="W267" s="5" t="s">
        <v>5184</v>
      </c>
      <c r="X267" s="5" t="s">
        <v>5185</v>
      </c>
      <c r="Y267" s="5" t="s">
        <v>5186</v>
      </c>
      <c r="Z267" s="5" t="s">
        <v>5187</v>
      </c>
      <c r="AA267" s="5" t="s">
        <v>5188</v>
      </c>
      <c r="AB267" s="5" t="s">
        <v>5189</v>
      </c>
      <c r="AC267" s="5" t="s">
        <v>21</v>
      </c>
      <c r="AD267" s="5" t="s">
        <v>21</v>
      </c>
      <c r="AE267" s="5" t="s">
        <v>21</v>
      </c>
      <c r="AF267" s="5">
        <v>32</v>
      </c>
      <c r="AG267" s="5">
        <v>4</v>
      </c>
      <c r="AH267" s="5">
        <v>4</v>
      </c>
      <c r="AI267" s="5">
        <v>2</v>
      </c>
      <c r="AJ267" s="5">
        <v>22</v>
      </c>
      <c r="AK267" s="5" t="s">
        <v>5190</v>
      </c>
      <c r="AL267" s="5" t="s">
        <v>5191</v>
      </c>
      <c r="AM267" s="5" t="s">
        <v>5192</v>
      </c>
      <c r="AN267" s="5" t="s">
        <v>5193</v>
      </c>
      <c r="AO267" s="5" t="s">
        <v>5194</v>
      </c>
      <c r="AP267" s="5" t="s">
        <v>21</v>
      </c>
      <c r="AQ267" s="5" t="s">
        <v>5195</v>
      </c>
      <c r="AR267" s="5" t="s">
        <v>5196</v>
      </c>
      <c r="AS267" s="5" t="s">
        <v>5197</v>
      </c>
      <c r="AT267" s="5">
        <v>2023</v>
      </c>
      <c r="AU267" s="5">
        <v>77</v>
      </c>
      <c r="AV267" s="5">
        <v>1</v>
      </c>
      <c r="AW267" s="5" t="s">
        <v>21</v>
      </c>
      <c r="AX267" s="5" t="s">
        <v>21</v>
      </c>
      <c r="AY267" s="5" t="s">
        <v>21</v>
      </c>
      <c r="AZ267" s="5" t="s">
        <v>21</v>
      </c>
      <c r="BA267" s="5" t="s">
        <v>21</v>
      </c>
      <c r="BB267" s="5" t="s">
        <v>21</v>
      </c>
      <c r="BC267" s="5">
        <v>7701205120</v>
      </c>
      <c r="BD267" s="5" t="s">
        <v>5198</v>
      </c>
      <c r="BE267" s="5" t="str">
        <f>HYPERLINK("http://dx.doi.org/10.5014/ajot.2023.049492","http://dx.doi.org/10.5014/ajot.2023.049492")</f>
        <v>http://dx.doi.org/10.5014/ajot.2023.049492</v>
      </c>
      <c r="BF267" s="5" t="s">
        <v>21</v>
      </c>
      <c r="BG267" s="5" t="s">
        <v>21</v>
      </c>
      <c r="BH267" s="5">
        <v>7</v>
      </c>
      <c r="BI267" s="5" t="s">
        <v>2990</v>
      </c>
      <c r="BJ267" s="5" t="s">
        <v>45</v>
      </c>
      <c r="BK267" s="5" t="s">
        <v>2990</v>
      </c>
      <c r="BL267" s="5" t="s">
        <v>5199</v>
      </c>
      <c r="BM267" s="5">
        <v>36806382</v>
      </c>
      <c r="BN267" s="5" t="s">
        <v>21</v>
      </c>
      <c r="BO267" s="5" t="s">
        <v>21</v>
      </c>
      <c r="BP267" s="5" t="s">
        <v>21</v>
      </c>
      <c r="BQ267" s="5" t="s">
        <v>49</v>
      </c>
      <c r="BR267" s="5" t="s">
        <v>5200</v>
      </c>
      <c r="BS267" s="5" t="str">
        <f>HYPERLINK("https%3A%2F%2Fwww.webofscience.com%2Fwos%2Fwoscc%2Ffull-record%2FWOS:000947150500006","View Full Record in Web of Science")</f>
        <v>View Full Record in Web of Science</v>
      </c>
    </row>
    <row r="268" spans="1:71" x14ac:dyDescent="0.25">
      <c r="A268" t="s">
        <v>19</v>
      </c>
      <c r="B268" s="5" t="s">
        <v>866</v>
      </c>
      <c r="C268" s="5" t="s">
        <v>21</v>
      </c>
      <c r="D268" s="5" t="s">
        <v>21</v>
      </c>
      <c r="E268" s="5" t="s">
        <v>21</v>
      </c>
      <c r="F268" s="5" t="s">
        <v>867</v>
      </c>
      <c r="G268" s="5" t="s">
        <v>21</v>
      </c>
      <c r="H268" s="5" t="s">
        <v>21</v>
      </c>
      <c r="I268" s="5" t="s">
        <v>5201</v>
      </c>
      <c r="J268" s="12" t="s">
        <v>4803</v>
      </c>
      <c r="K268" s="5" t="s">
        <v>21</v>
      </c>
      <c r="L268" s="5" t="s">
        <v>21</v>
      </c>
      <c r="M268" s="5" t="s">
        <v>25</v>
      </c>
      <c r="N268" s="5" t="s">
        <v>26</v>
      </c>
      <c r="O268" s="5" t="s">
        <v>21</v>
      </c>
      <c r="P268" s="5" t="s">
        <v>21</v>
      </c>
      <c r="Q268" s="5" t="s">
        <v>21</v>
      </c>
      <c r="R268" s="5" t="s">
        <v>21</v>
      </c>
      <c r="S268" s="5" t="s">
        <v>21</v>
      </c>
      <c r="T268" s="5" t="s">
        <v>5202</v>
      </c>
      <c r="U268" s="5" t="s">
        <v>5203</v>
      </c>
      <c r="V268" s="5" t="s">
        <v>5204</v>
      </c>
      <c r="W268" s="5" t="s">
        <v>5205</v>
      </c>
      <c r="X268" s="5" t="s">
        <v>5206</v>
      </c>
      <c r="Y268" s="5" t="s">
        <v>5207</v>
      </c>
      <c r="Z268" s="5" t="s">
        <v>490</v>
      </c>
      <c r="AA268" s="5" t="s">
        <v>1983</v>
      </c>
      <c r="AB268" s="5" t="s">
        <v>2231</v>
      </c>
      <c r="AC268" s="5" t="s">
        <v>5208</v>
      </c>
      <c r="AD268" s="5" t="s">
        <v>5209</v>
      </c>
      <c r="AE268" s="5" t="s">
        <v>5210</v>
      </c>
      <c r="AF268" s="5">
        <v>119</v>
      </c>
      <c r="AG268" s="5">
        <v>4</v>
      </c>
      <c r="AH268" s="5">
        <v>5</v>
      </c>
      <c r="AI268" s="5">
        <v>4</v>
      </c>
      <c r="AJ268" s="5">
        <v>19</v>
      </c>
      <c r="AK268" s="5" t="s">
        <v>584</v>
      </c>
      <c r="AL268" s="5" t="s">
        <v>585</v>
      </c>
      <c r="AM268" s="5" t="s">
        <v>586</v>
      </c>
      <c r="AN268" s="5" t="s">
        <v>4816</v>
      </c>
      <c r="AO268" s="5" t="s">
        <v>4817</v>
      </c>
      <c r="AP268" s="5" t="s">
        <v>21</v>
      </c>
      <c r="AQ268" s="5" t="s">
        <v>4818</v>
      </c>
      <c r="AR268" s="5" t="s">
        <v>4819</v>
      </c>
      <c r="AS268" s="5" t="s">
        <v>5211</v>
      </c>
      <c r="AT268" s="5">
        <v>2024</v>
      </c>
      <c r="AU268" s="5">
        <v>19</v>
      </c>
      <c r="AV268" s="5">
        <v>4</v>
      </c>
      <c r="AW268" s="5" t="s">
        <v>21</v>
      </c>
      <c r="AX268" s="5" t="s">
        <v>21</v>
      </c>
      <c r="AY268" s="5" t="s">
        <v>21</v>
      </c>
      <c r="AZ268" s="5" t="s">
        <v>21</v>
      </c>
      <c r="BA268" s="5">
        <v>1178</v>
      </c>
      <c r="BB268" s="5">
        <v>1209</v>
      </c>
      <c r="BC268" s="5" t="s">
        <v>21</v>
      </c>
      <c r="BD268" s="5" t="s">
        <v>5212</v>
      </c>
      <c r="BE268" s="5" t="str">
        <f>HYPERLINK("http://dx.doi.org/10.1080/17483107.2022.2156630","http://dx.doi.org/10.1080/17483107.2022.2156630")</f>
        <v>http://dx.doi.org/10.1080/17483107.2022.2156630</v>
      </c>
      <c r="BF268" s="5" t="s">
        <v>21</v>
      </c>
      <c r="BG268" s="5" t="s">
        <v>5213</v>
      </c>
      <c r="BH268" s="5">
        <v>32</v>
      </c>
      <c r="BI268" s="5" t="s">
        <v>2990</v>
      </c>
      <c r="BJ268" s="5" t="s">
        <v>45</v>
      </c>
      <c r="BK268" s="5" t="s">
        <v>2990</v>
      </c>
      <c r="BL268" s="5" t="s">
        <v>5214</v>
      </c>
      <c r="BM268" s="5">
        <v>36524469</v>
      </c>
      <c r="BN268" s="5" t="s">
        <v>21</v>
      </c>
      <c r="BO268" s="5" t="s">
        <v>21</v>
      </c>
      <c r="BP268" s="5" t="s">
        <v>21</v>
      </c>
      <c r="BQ268" s="5" t="s">
        <v>49</v>
      </c>
      <c r="BR268" s="5" t="s">
        <v>5215</v>
      </c>
      <c r="BS268" s="5" t="str">
        <f>HYPERLINK("https%3A%2F%2Fwww.webofscience.com%2Fwos%2Fwoscc%2Ffull-record%2FWOS:000898580500001","View Full Record in Web of Science")</f>
        <v>View Full Record in Web of Science</v>
      </c>
    </row>
    <row r="269" spans="1:71" x14ac:dyDescent="0.25">
      <c r="A269" t="s">
        <v>19</v>
      </c>
      <c r="B269" s="5" t="s">
        <v>5216</v>
      </c>
      <c r="C269" s="5" t="s">
        <v>21</v>
      </c>
      <c r="D269" s="5" t="s">
        <v>21</v>
      </c>
      <c r="E269" s="5" t="s">
        <v>21</v>
      </c>
      <c r="F269" s="5" t="s">
        <v>5217</v>
      </c>
      <c r="G269" s="5" t="s">
        <v>21</v>
      </c>
      <c r="H269" s="5" t="s">
        <v>21</v>
      </c>
      <c r="I269" s="5" t="s">
        <v>5218</v>
      </c>
      <c r="J269" s="12" t="s">
        <v>2972</v>
      </c>
      <c r="K269" s="5" t="s">
        <v>21</v>
      </c>
      <c r="L269" s="5" t="s">
        <v>21</v>
      </c>
      <c r="M269" s="5" t="s">
        <v>25</v>
      </c>
      <c r="N269" s="5" t="s">
        <v>26</v>
      </c>
      <c r="O269" s="5" t="s">
        <v>21</v>
      </c>
      <c r="P269" s="5" t="s">
        <v>21</v>
      </c>
      <c r="Q269" s="5" t="s">
        <v>21</v>
      </c>
      <c r="R269" s="5" t="s">
        <v>21</v>
      </c>
      <c r="S269" s="5" t="s">
        <v>21</v>
      </c>
      <c r="T269" s="5" t="s">
        <v>5219</v>
      </c>
      <c r="U269" s="5" t="s">
        <v>5220</v>
      </c>
      <c r="V269" s="5" t="s">
        <v>5221</v>
      </c>
      <c r="W269" s="5" t="s">
        <v>5222</v>
      </c>
      <c r="X269" s="5" t="s">
        <v>5223</v>
      </c>
      <c r="Y269" s="5" t="s">
        <v>5224</v>
      </c>
      <c r="Z269" s="5" t="s">
        <v>5225</v>
      </c>
      <c r="AA269" s="5" t="s">
        <v>5226</v>
      </c>
      <c r="AB269" s="5" t="s">
        <v>5227</v>
      </c>
      <c r="AC269" s="5" t="s">
        <v>5228</v>
      </c>
      <c r="AD269" s="5" t="s">
        <v>5229</v>
      </c>
      <c r="AE269" s="5" t="s">
        <v>5230</v>
      </c>
      <c r="AF269" s="5">
        <v>148</v>
      </c>
      <c r="AG269" s="5">
        <v>4</v>
      </c>
      <c r="AH269" s="5">
        <v>4</v>
      </c>
      <c r="AI269" s="5">
        <v>1</v>
      </c>
      <c r="AJ269" s="5">
        <v>12</v>
      </c>
      <c r="AK269" s="5" t="s">
        <v>2981</v>
      </c>
      <c r="AL269" s="5" t="s">
        <v>2982</v>
      </c>
      <c r="AM269" s="5" t="s">
        <v>2983</v>
      </c>
      <c r="AN269" s="5" t="s">
        <v>2984</v>
      </c>
      <c r="AO269" s="5" t="s">
        <v>21</v>
      </c>
      <c r="AP269" s="5" t="s">
        <v>21</v>
      </c>
      <c r="AQ269" s="5" t="s">
        <v>2985</v>
      </c>
      <c r="AR269" s="5" t="s">
        <v>2986</v>
      </c>
      <c r="AS269" s="5" t="s">
        <v>5231</v>
      </c>
      <c r="AT269" s="5">
        <v>2022</v>
      </c>
      <c r="AU269" s="5">
        <v>16</v>
      </c>
      <c r="AV269" s="5">
        <v>1</v>
      </c>
      <c r="AW269" s="5" t="s">
        <v>21</v>
      </c>
      <c r="AX269" s="5" t="s">
        <v>21</v>
      </c>
      <c r="AY269" s="5" t="s">
        <v>21</v>
      </c>
      <c r="AZ269" s="5" t="s">
        <v>21</v>
      </c>
      <c r="BA269" s="5">
        <v>48</v>
      </c>
      <c r="BB269" s="5">
        <v>69</v>
      </c>
      <c r="BC269" s="5" t="s">
        <v>21</v>
      </c>
      <c r="BD269" s="5" t="s">
        <v>5232</v>
      </c>
      <c r="BE269" s="5" t="str">
        <f>HYPERLINK("http://dx.doi.org/10.1108/JET-06-2021-0028","http://dx.doi.org/10.1108/JET-06-2021-0028")</f>
        <v>http://dx.doi.org/10.1108/JET-06-2021-0028</v>
      </c>
      <c r="BF269" s="5" t="s">
        <v>21</v>
      </c>
      <c r="BG269" s="5" t="s">
        <v>21</v>
      </c>
      <c r="BH269" s="5">
        <v>22</v>
      </c>
      <c r="BI269" s="5" t="s">
        <v>2990</v>
      </c>
      <c r="BJ269" s="5" t="s">
        <v>1907</v>
      </c>
      <c r="BK269" s="5" t="s">
        <v>2990</v>
      </c>
      <c r="BL269" s="5" t="s">
        <v>5233</v>
      </c>
      <c r="BM269" s="5" t="s">
        <v>21</v>
      </c>
      <c r="BN269" s="5" t="s">
        <v>21</v>
      </c>
      <c r="BO269" s="5" t="s">
        <v>21</v>
      </c>
      <c r="BP269" s="5" t="s">
        <v>21</v>
      </c>
      <c r="BQ269" s="5" t="s">
        <v>49</v>
      </c>
      <c r="BR269" s="5" t="s">
        <v>5234</v>
      </c>
      <c r="BS269" s="5" t="str">
        <f>HYPERLINK("https%3A%2F%2Fwww.webofscience.com%2Fwos%2Fwoscc%2Ffull-record%2FWOS:000765776600004","View Full Record in Web of Science")</f>
        <v>View Full Record in Web of Science</v>
      </c>
    </row>
    <row r="270" spans="1:71" x14ac:dyDescent="0.25">
      <c r="A270" t="s">
        <v>19</v>
      </c>
      <c r="B270" s="5" t="s">
        <v>5235</v>
      </c>
      <c r="C270" s="5" t="s">
        <v>21</v>
      </c>
      <c r="D270" s="5" t="s">
        <v>21</v>
      </c>
      <c r="E270" s="5" t="s">
        <v>21</v>
      </c>
      <c r="F270" s="5" t="s">
        <v>5236</v>
      </c>
      <c r="G270" s="5" t="s">
        <v>21</v>
      </c>
      <c r="H270" s="5" t="s">
        <v>21</v>
      </c>
      <c r="I270" s="5" t="s">
        <v>5237</v>
      </c>
      <c r="J270" s="12" t="s">
        <v>2329</v>
      </c>
      <c r="K270" s="5" t="s">
        <v>21</v>
      </c>
      <c r="L270" s="5" t="s">
        <v>21</v>
      </c>
      <c r="M270" s="5" t="s">
        <v>25</v>
      </c>
      <c r="N270" s="5" t="s">
        <v>26</v>
      </c>
      <c r="O270" s="5" t="s">
        <v>21</v>
      </c>
      <c r="P270" s="5" t="s">
        <v>21</v>
      </c>
      <c r="Q270" s="5" t="s">
        <v>21</v>
      </c>
      <c r="R270" s="5" t="s">
        <v>21</v>
      </c>
      <c r="S270" s="5" t="s">
        <v>21</v>
      </c>
      <c r="T270" s="5" t="s">
        <v>5238</v>
      </c>
      <c r="U270" s="5" t="s">
        <v>5239</v>
      </c>
      <c r="V270" s="5" t="s">
        <v>5240</v>
      </c>
      <c r="W270" s="5" t="s">
        <v>5241</v>
      </c>
      <c r="X270" s="5" t="s">
        <v>5242</v>
      </c>
      <c r="Y270" s="5" t="s">
        <v>5243</v>
      </c>
      <c r="Z270" s="5" t="s">
        <v>5244</v>
      </c>
      <c r="AA270" s="5" t="s">
        <v>21</v>
      </c>
      <c r="AB270" s="5" t="s">
        <v>5245</v>
      </c>
      <c r="AC270" s="5" t="s">
        <v>5246</v>
      </c>
      <c r="AD270" s="5" t="s">
        <v>5247</v>
      </c>
      <c r="AE270" s="5" t="s">
        <v>5248</v>
      </c>
      <c r="AF270" s="5">
        <v>77</v>
      </c>
      <c r="AG270" s="5">
        <v>4</v>
      </c>
      <c r="AH270" s="5">
        <v>4</v>
      </c>
      <c r="AI270" s="5">
        <v>1</v>
      </c>
      <c r="AJ270" s="5">
        <v>17</v>
      </c>
      <c r="AK270" s="5" t="s">
        <v>153</v>
      </c>
      <c r="AL270" s="5" t="s">
        <v>154</v>
      </c>
      <c r="AM270" s="5" t="s">
        <v>155</v>
      </c>
      <c r="AN270" s="5" t="s">
        <v>2342</v>
      </c>
      <c r="AO270" s="5" t="s">
        <v>21</v>
      </c>
      <c r="AP270" s="5" t="s">
        <v>21</v>
      </c>
      <c r="AQ270" s="5" t="s">
        <v>2343</v>
      </c>
      <c r="AR270" s="5" t="s">
        <v>2344</v>
      </c>
      <c r="AS270" s="5" t="s">
        <v>5249</v>
      </c>
      <c r="AT270" s="5">
        <v>2019</v>
      </c>
      <c r="AU270" s="5">
        <v>10</v>
      </c>
      <c r="AV270" s="5" t="s">
        <v>21</v>
      </c>
      <c r="AW270" s="5" t="s">
        <v>21</v>
      </c>
      <c r="AX270" s="5" t="s">
        <v>21</v>
      </c>
      <c r="AY270" s="5" t="s">
        <v>21</v>
      </c>
      <c r="AZ270" s="5" t="s">
        <v>21</v>
      </c>
      <c r="BA270" s="5" t="s">
        <v>21</v>
      </c>
      <c r="BB270" s="5" t="s">
        <v>21</v>
      </c>
      <c r="BC270" s="5">
        <v>1635</v>
      </c>
      <c r="BD270" s="5" t="s">
        <v>5250</v>
      </c>
      <c r="BE270" s="5" t="str">
        <f>HYPERLINK("http://dx.doi.org/10.3389/fpsyg.2019.01635","http://dx.doi.org/10.3389/fpsyg.2019.01635")</f>
        <v>http://dx.doi.org/10.3389/fpsyg.2019.01635</v>
      </c>
      <c r="BF270" s="5" t="s">
        <v>21</v>
      </c>
      <c r="BG270" s="5" t="s">
        <v>21</v>
      </c>
      <c r="BH270" s="5">
        <v>18</v>
      </c>
      <c r="BI270" s="5" t="s">
        <v>825</v>
      </c>
      <c r="BJ270" s="5" t="s">
        <v>45</v>
      </c>
      <c r="BK270" s="5" t="s">
        <v>46</v>
      </c>
      <c r="BL270" s="5" t="s">
        <v>5251</v>
      </c>
      <c r="BM270" s="5">
        <v>31379670</v>
      </c>
      <c r="BN270" s="5" t="s">
        <v>163</v>
      </c>
      <c r="BO270" s="5" t="s">
        <v>21</v>
      </c>
      <c r="BP270" s="5" t="s">
        <v>21</v>
      </c>
      <c r="BQ270" s="5" t="s">
        <v>49</v>
      </c>
      <c r="BR270" s="5" t="s">
        <v>5252</v>
      </c>
      <c r="BS270" s="5" t="str">
        <f>HYPERLINK("https%3A%2F%2Fwww.webofscience.com%2Fwos%2Fwoscc%2Ffull-record%2FWOS:000475817900002","View Full Record in Web of Science")</f>
        <v>View Full Record in Web of Science</v>
      </c>
    </row>
    <row r="271" spans="1:71" x14ac:dyDescent="0.25">
      <c r="A271" t="s">
        <v>19</v>
      </c>
      <c r="B271" s="5" t="s">
        <v>5253</v>
      </c>
      <c r="C271" s="5" t="s">
        <v>21</v>
      </c>
      <c r="D271" s="5" t="s">
        <v>21</v>
      </c>
      <c r="E271" s="5" t="s">
        <v>21</v>
      </c>
      <c r="F271" s="5" t="s">
        <v>5253</v>
      </c>
      <c r="G271" s="5" t="s">
        <v>21</v>
      </c>
      <c r="H271" s="5" t="s">
        <v>21</v>
      </c>
      <c r="I271" s="5" t="s">
        <v>5254</v>
      </c>
      <c r="J271" s="12" t="s">
        <v>340</v>
      </c>
      <c r="K271" s="5" t="s">
        <v>21</v>
      </c>
      <c r="L271" s="5" t="s">
        <v>21</v>
      </c>
      <c r="M271" s="5" t="s">
        <v>25</v>
      </c>
      <c r="N271" s="5" t="s">
        <v>26</v>
      </c>
      <c r="O271" s="5" t="s">
        <v>21</v>
      </c>
      <c r="P271" s="5" t="s">
        <v>21</v>
      </c>
      <c r="Q271" s="5" t="s">
        <v>21</v>
      </c>
      <c r="R271" s="5" t="s">
        <v>21</v>
      </c>
      <c r="S271" s="5" t="s">
        <v>21</v>
      </c>
      <c r="T271" s="5" t="s">
        <v>21</v>
      </c>
      <c r="U271" s="5" t="s">
        <v>21</v>
      </c>
      <c r="V271" s="5" t="s">
        <v>5255</v>
      </c>
      <c r="W271" s="5" t="s">
        <v>5256</v>
      </c>
      <c r="X271" s="5" t="s">
        <v>5257</v>
      </c>
      <c r="Y271" s="5" t="s">
        <v>5258</v>
      </c>
      <c r="Z271" s="5" t="s">
        <v>21</v>
      </c>
      <c r="AA271" s="5" t="s">
        <v>5259</v>
      </c>
      <c r="AB271" s="5" t="s">
        <v>5260</v>
      </c>
      <c r="AC271" s="5" t="s">
        <v>21</v>
      </c>
      <c r="AD271" s="5" t="s">
        <v>21</v>
      </c>
      <c r="AE271" s="5" t="s">
        <v>21</v>
      </c>
      <c r="AF271" s="5">
        <v>18</v>
      </c>
      <c r="AG271" s="5">
        <v>4</v>
      </c>
      <c r="AH271" s="5">
        <v>7</v>
      </c>
      <c r="AI271" s="5">
        <v>0</v>
      </c>
      <c r="AJ271" s="5">
        <v>10</v>
      </c>
      <c r="AK271" s="5" t="s">
        <v>1052</v>
      </c>
      <c r="AL271" s="5" t="s">
        <v>1053</v>
      </c>
      <c r="AM271" s="5" t="s">
        <v>1054</v>
      </c>
      <c r="AN271" s="5" t="s">
        <v>352</v>
      </c>
      <c r="AO271" s="5" t="s">
        <v>21</v>
      </c>
      <c r="AP271" s="5" t="s">
        <v>21</v>
      </c>
      <c r="AQ271" s="5" t="s">
        <v>353</v>
      </c>
      <c r="AR271" s="5" t="s">
        <v>354</v>
      </c>
      <c r="AS271" s="5" t="s">
        <v>134</v>
      </c>
      <c r="AT271" s="5">
        <v>2002</v>
      </c>
      <c r="AU271" s="5">
        <v>5</v>
      </c>
      <c r="AV271" s="5">
        <v>5</v>
      </c>
      <c r="AW271" s="5" t="s">
        <v>21</v>
      </c>
      <c r="AX271" s="5" t="s">
        <v>21</v>
      </c>
      <c r="AY271" s="5" t="s">
        <v>21</v>
      </c>
      <c r="AZ271" s="5" t="s">
        <v>21</v>
      </c>
      <c r="BA271" s="5">
        <v>423</v>
      </c>
      <c r="BB271" s="5">
        <v>431</v>
      </c>
      <c r="BC271" s="5" t="s">
        <v>21</v>
      </c>
      <c r="BD271" s="5" t="s">
        <v>5261</v>
      </c>
      <c r="BE271" s="5" t="str">
        <f>HYPERLINK("http://dx.doi.org/10.1089/109493102761022841","http://dx.doi.org/10.1089/109493102761022841")</f>
        <v>http://dx.doi.org/10.1089/109493102761022841</v>
      </c>
      <c r="BF271" s="5" t="s">
        <v>21</v>
      </c>
      <c r="BG271" s="5" t="s">
        <v>21</v>
      </c>
      <c r="BH271" s="5">
        <v>9</v>
      </c>
      <c r="BI271" s="5" t="s">
        <v>356</v>
      </c>
      <c r="BJ271" s="5" t="s">
        <v>45</v>
      </c>
      <c r="BK271" s="5" t="s">
        <v>357</v>
      </c>
      <c r="BL271" s="5" t="s">
        <v>5262</v>
      </c>
      <c r="BM271" s="5">
        <v>12448779</v>
      </c>
      <c r="BN271" s="5" t="s">
        <v>21</v>
      </c>
      <c r="BO271" s="5" t="s">
        <v>21</v>
      </c>
      <c r="BP271" s="5" t="s">
        <v>21</v>
      </c>
      <c r="BQ271" s="5" t="s">
        <v>49</v>
      </c>
      <c r="BR271" s="5" t="s">
        <v>5263</v>
      </c>
      <c r="BS271" s="5" t="str">
        <f>HYPERLINK("https%3A%2F%2Fwww.webofscience.com%2Fwos%2Fwoscc%2Ffull-record%2FWOS:000179222000004","View Full Record in Web of Science")</f>
        <v>View Full Record in Web of Science</v>
      </c>
    </row>
    <row r="272" spans="1:71" x14ac:dyDescent="0.25">
      <c r="A272" t="s">
        <v>19</v>
      </c>
      <c r="B272" s="5" t="s">
        <v>5264</v>
      </c>
      <c r="C272" s="5" t="s">
        <v>21</v>
      </c>
      <c r="D272" s="5" t="s">
        <v>21</v>
      </c>
      <c r="E272" s="5" t="s">
        <v>21</v>
      </c>
      <c r="F272" s="5" t="s">
        <v>5265</v>
      </c>
      <c r="G272" s="5" t="s">
        <v>21</v>
      </c>
      <c r="H272" s="5" t="s">
        <v>21</v>
      </c>
      <c r="I272" s="5" t="s">
        <v>5266</v>
      </c>
      <c r="J272" s="12" t="s">
        <v>5267</v>
      </c>
      <c r="K272" s="5" t="s">
        <v>21</v>
      </c>
      <c r="L272" s="5" t="s">
        <v>21</v>
      </c>
      <c r="M272" s="5" t="s">
        <v>25</v>
      </c>
      <c r="N272" s="5" t="s">
        <v>2836</v>
      </c>
      <c r="O272" s="5" t="s">
        <v>21</v>
      </c>
      <c r="P272" s="5" t="s">
        <v>21</v>
      </c>
      <c r="Q272" s="5" t="s">
        <v>21</v>
      </c>
      <c r="R272" s="5" t="s">
        <v>21</v>
      </c>
      <c r="S272" s="5" t="s">
        <v>21</v>
      </c>
      <c r="T272" s="5" t="s">
        <v>5268</v>
      </c>
      <c r="U272" s="5" t="s">
        <v>5269</v>
      </c>
      <c r="V272" s="5" t="s">
        <v>5270</v>
      </c>
      <c r="W272" s="5" t="s">
        <v>5271</v>
      </c>
      <c r="X272" s="5" t="s">
        <v>5272</v>
      </c>
      <c r="Y272" s="5" t="s">
        <v>5273</v>
      </c>
      <c r="Z272" s="5" t="s">
        <v>5274</v>
      </c>
      <c r="AA272" s="5" t="s">
        <v>5275</v>
      </c>
      <c r="AB272" s="5" t="s">
        <v>5276</v>
      </c>
      <c r="AC272" s="5" t="s">
        <v>5277</v>
      </c>
      <c r="AD272" s="5" t="s">
        <v>5278</v>
      </c>
      <c r="AE272" s="5" t="s">
        <v>3987</v>
      </c>
      <c r="AF272" s="5">
        <v>142</v>
      </c>
      <c r="AG272" s="5">
        <v>3</v>
      </c>
      <c r="AH272" s="5">
        <v>3</v>
      </c>
      <c r="AI272" s="5">
        <v>68</v>
      </c>
      <c r="AJ272" s="5">
        <v>101</v>
      </c>
      <c r="AK272" s="5" t="s">
        <v>904</v>
      </c>
      <c r="AL272" s="5" t="s">
        <v>36</v>
      </c>
      <c r="AM272" s="5" t="s">
        <v>905</v>
      </c>
      <c r="AN272" s="5" t="s">
        <v>5279</v>
      </c>
      <c r="AO272" s="5" t="s">
        <v>5280</v>
      </c>
      <c r="AP272" s="5" t="s">
        <v>21</v>
      </c>
      <c r="AQ272" s="5" t="s">
        <v>5281</v>
      </c>
      <c r="AR272" s="5" t="s">
        <v>5282</v>
      </c>
      <c r="AS272" s="5" t="s">
        <v>5283</v>
      </c>
      <c r="AT272" s="5">
        <v>2024</v>
      </c>
      <c r="AU272" s="5" t="s">
        <v>21</v>
      </c>
      <c r="AV272" s="5" t="s">
        <v>21</v>
      </c>
      <c r="AW272" s="5" t="s">
        <v>21</v>
      </c>
      <c r="AX272" s="5" t="s">
        <v>21</v>
      </c>
      <c r="AY272" s="5" t="s">
        <v>21</v>
      </c>
      <c r="AZ272" s="5" t="s">
        <v>21</v>
      </c>
      <c r="BA272" s="5" t="s">
        <v>21</v>
      </c>
      <c r="BB272" s="5" t="s">
        <v>21</v>
      </c>
      <c r="BC272" s="5" t="s">
        <v>21</v>
      </c>
      <c r="BD272" s="5" t="s">
        <v>5284</v>
      </c>
      <c r="BE272" s="5" t="str">
        <f>HYPERLINK("http://dx.doi.org/10.1007/s40593-024-00422-0","http://dx.doi.org/10.1007/s40593-024-00422-0")</f>
        <v>http://dx.doi.org/10.1007/s40593-024-00422-0</v>
      </c>
      <c r="BF272" s="5" t="s">
        <v>21</v>
      </c>
      <c r="BG272" s="5" t="s">
        <v>5285</v>
      </c>
      <c r="BH272" s="5">
        <v>49</v>
      </c>
      <c r="BI272" s="5" t="s">
        <v>3118</v>
      </c>
      <c r="BJ272" s="5" t="s">
        <v>1907</v>
      </c>
      <c r="BK272" s="5" t="s">
        <v>715</v>
      </c>
      <c r="BL272" s="5" t="s">
        <v>5286</v>
      </c>
      <c r="BM272" s="5" t="s">
        <v>21</v>
      </c>
      <c r="BN272" s="5" t="s">
        <v>21</v>
      </c>
      <c r="BO272" s="5" t="s">
        <v>21</v>
      </c>
      <c r="BP272" s="5" t="s">
        <v>21</v>
      </c>
      <c r="BQ272" s="5" t="s">
        <v>49</v>
      </c>
      <c r="BR272" s="5" t="s">
        <v>5287</v>
      </c>
      <c r="BS272" s="5" t="str">
        <f>HYPERLINK("https%3A%2F%2Fwww.webofscience.com%2Fwos%2Fwoscc%2Ffull-record%2FWOS:001293460100001","View Full Record in Web of Science")</f>
        <v>View Full Record in Web of Science</v>
      </c>
    </row>
    <row r="273" spans="1:71" x14ac:dyDescent="0.25">
      <c r="A273" t="s">
        <v>19</v>
      </c>
      <c r="B273" s="5" t="s">
        <v>5288</v>
      </c>
      <c r="C273" s="5" t="s">
        <v>21</v>
      </c>
      <c r="D273" s="5" t="s">
        <v>21</v>
      </c>
      <c r="E273" s="5" t="s">
        <v>21</v>
      </c>
      <c r="F273" s="5" t="s">
        <v>5289</v>
      </c>
      <c r="G273" s="5" t="s">
        <v>21</v>
      </c>
      <c r="H273" s="5" t="s">
        <v>21</v>
      </c>
      <c r="I273" s="5" t="s">
        <v>5290</v>
      </c>
      <c r="J273" s="12" t="s">
        <v>5291</v>
      </c>
      <c r="K273" s="5" t="s">
        <v>21</v>
      </c>
      <c r="L273" s="5" t="s">
        <v>21</v>
      </c>
      <c r="M273" s="5" t="s">
        <v>25</v>
      </c>
      <c r="N273" s="5" t="s">
        <v>76</v>
      </c>
      <c r="O273" s="5" t="s">
        <v>21</v>
      </c>
      <c r="P273" s="5" t="s">
        <v>21</v>
      </c>
      <c r="Q273" s="5" t="s">
        <v>21</v>
      </c>
      <c r="R273" s="5" t="s">
        <v>21</v>
      </c>
      <c r="S273" s="5" t="s">
        <v>21</v>
      </c>
      <c r="T273" s="5" t="s">
        <v>5292</v>
      </c>
      <c r="U273" s="5" t="s">
        <v>5293</v>
      </c>
      <c r="V273" s="5" t="s">
        <v>5294</v>
      </c>
      <c r="W273" s="5" t="s">
        <v>5295</v>
      </c>
      <c r="X273" s="5" t="s">
        <v>5296</v>
      </c>
      <c r="Y273" s="5" t="s">
        <v>5297</v>
      </c>
      <c r="Z273" s="5" t="s">
        <v>5298</v>
      </c>
      <c r="AA273" s="5" t="s">
        <v>5299</v>
      </c>
      <c r="AB273" s="5" t="s">
        <v>21</v>
      </c>
      <c r="AC273" s="5" t="s">
        <v>5300</v>
      </c>
      <c r="AD273" s="5" t="s">
        <v>5301</v>
      </c>
      <c r="AE273" s="5" t="s">
        <v>5302</v>
      </c>
      <c r="AF273" s="5">
        <v>75</v>
      </c>
      <c r="AG273" s="5">
        <v>3</v>
      </c>
      <c r="AH273" s="5">
        <v>3</v>
      </c>
      <c r="AI273" s="5">
        <v>17</v>
      </c>
      <c r="AJ273" s="5">
        <v>25</v>
      </c>
      <c r="AK273" s="5" t="s">
        <v>110</v>
      </c>
      <c r="AL273" s="5" t="s">
        <v>84</v>
      </c>
      <c r="AM273" s="5" t="s">
        <v>111</v>
      </c>
      <c r="AN273" s="5" t="s">
        <v>5303</v>
      </c>
      <c r="AO273" s="5" t="s">
        <v>5304</v>
      </c>
      <c r="AP273" s="5" t="s">
        <v>21</v>
      </c>
      <c r="AQ273" s="5" t="s">
        <v>5305</v>
      </c>
      <c r="AR273" s="5" t="s">
        <v>5306</v>
      </c>
      <c r="AS273" s="5" t="s">
        <v>89</v>
      </c>
      <c r="AT273" s="5">
        <v>2024</v>
      </c>
      <c r="AU273" s="5">
        <v>121</v>
      </c>
      <c r="AV273" s="5" t="s">
        <v>21</v>
      </c>
      <c r="AW273" s="5" t="s">
        <v>21</v>
      </c>
      <c r="AX273" s="5" t="s">
        <v>21</v>
      </c>
      <c r="AY273" s="5" t="s">
        <v>21</v>
      </c>
      <c r="AZ273" s="5" t="s">
        <v>21</v>
      </c>
      <c r="BA273" s="5" t="s">
        <v>21</v>
      </c>
      <c r="BB273" s="5" t="s">
        <v>21</v>
      </c>
      <c r="BC273" s="5">
        <v>103942</v>
      </c>
      <c r="BD273" s="5" t="s">
        <v>5307</v>
      </c>
      <c r="BE273" s="5" t="str">
        <f>HYPERLINK("http://dx.doi.org/10.1016/j.cag.2024.103942","http://dx.doi.org/10.1016/j.cag.2024.103942")</f>
        <v>http://dx.doi.org/10.1016/j.cag.2024.103942</v>
      </c>
      <c r="BF273" s="5" t="s">
        <v>21</v>
      </c>
      <c r="BG273" s="5" t="s">
        <v>5308</v>
      </c>
      <c r="BH273" s="5">
        <v>13</v>
      </c>
      <c r="BI273" s="5" t="s">
        <v>784</v>
      </c>
      <c r="BJ273" s="5" t="s">
        <v>524</v>
      </c>
      <c r="BK273" s="5" t="s">
        <v>715</v>
      </c>
      <c r="BL273" s="5" t="s">
        <v>5309</v>
      </c>
      <c r="BM273" s="5" t="s">
        <v>21</v>
      </c>
      <c r="BN273" s="5" t="s">
        <v>120</v>
      </c>
      <c r="BO273" s="5" t="s">
        <v>21</v>
      </c>
      <c r="BP273" s="5" t="s">
        <v>21</v>
      </c>
      <c r="BQ273" s="5" t="s">
        <v>49</v>
      </c>
      <c r="BR273" s="5" t="s">
        <v>5310</v>
      </c>
      <c r="BS273" s="5" t="str">
        <f>HYPERLINK("https%3A%2F%2Fwww.webofscience.com%2Fwos%2Fwoscc%2Ffull-record%2FWOS:001246907400001","View Full Record in Web of Science")</f>
        <v>View Full Record in Web of Science</v>
      </c>
    </row>
    <row r="274" spans="1:71" x14ac:dyDescent="0.25">
      <c r="A274" t="s">
        <v>19</v>
      </c>
      <c r="B274" s="5" t="s">
        <v>5311</v>
      </c>
      <c r="C274" s="5" t="s">
        <v>21</v>
      </c>
      <c r="D274" s="5" t="s">
        <v>21</v>
      </c>
      <c r="E274" s="5" t="s">
        <v>21</v>
      </c>
      <c r="F274" s="5" t="s">
        <v>5312</v>
      </c>
      <c r="G274" s="5" t="s">
        <v>21</v>
      </c>
      <c r="H274" s="5" t="s">
        <v>21</v>
      </c>
      <c r="I274" s="5" t="s">
        <v>5313</v>
      </c>
      <c r="J274" s="12" t="s">
        <v>5314</v>
      </c>
      <c r="K274" s="5" t="s">
        <v>21</v>
      </c>
      <c r="L274" s="5" t="s">
        <v>21</v>
      </c>
      <c r="M274" s="5" t="s">
        <v>25</v>
      </c>
      <c r="N274" s="5" t="s">
        <v>26</v>
      </c>
      <c r="O274" s="5" t="s">
        <v>21</v>
      </c>
      <c r="P274" s="5" t="s">
        <v>21</v>
      </c>
      <c r="Q274" s="5" t="s">
        <v>21</v>
      </c>
      <c r="R274" s="5" t="s">
        <v>21</v>
      </c>
      <c r="S274" s="5" t="s">
        <v>21</v>
      </c>
      <c r="T274" s="5" t="s">
        <v>5315</v>
      </c>
      <c r="U274" s="5" t="s">
        <v>3393</v>
      </c>
      <c r="V274" s="5" t="s">
        <v>5316</v>
      </c>
      <c r="W274" s="5" t="s">
        <v>5317</v>
      </c>
      <c r="X274" s="5" t="s">
        <v>5318</v>
      </c>
      <c r="Y274" s="5" t="s">
        <v>5319</v>
      </c>
      <c r="Z274" s="5" t="s">
        <v>5320</v>
      </c>
      <c r="AA274" s="5" t="s">
        <v>5321</v>
      </c>
      <c r="AB274" s="5" t="s">
        <v>21</v>
      </c>
      <c r="AC274" s="5" t="s">
        <v>21</v>
      </c>
      <c r="AD274" s="5" t="s">
        <v>21</v>
      </c>
      <c r="AE274" s="5" t="s">
        <v>21</v>
      </c>
      <c r="AF274" s="5">
        <v>50</v>
      </c>
      <c r="AG274" s="5">
        <v>3</v>
      </c>
      <c r="AH274" s="5">
        <v>3</v>
      </c>
      <c r="AI274" s="5">
        <v>14</v>
      </c>
      <c r="AJ274" s="5">
        <v>24</v>
      </c>
      <c r="AK274" s="5" t="s">
        <v>5322</v>
      </c>
      <c r="AL274" s="5" t="s">
        <v>5323</v>
      </c>
      <c r="AM274" s="5" t="s">
        <v>5324</v>
      </c>
      <c r="AN274" s="5" t="s">
        <v>5325</v>
      </c>
      <c r="AO274" s="5" t="s">
        <v>5326</v>
      </c>
      <c r="AP274" s="5" t="s">
        <v>21</v>
      </c>
      <c r="AQ274" s="5" t="s">
        <v>5327</v>
      </c>
      <c r="AR274" s="5" t="s">
        <v>5328</v>
      </c>
      <c r="AS274" s="5" t="s">
        <v>69</v>
      </c>
      <c r="AT274" s="5">
        <v>2024</v>
      </c>
      <c r="AU274" s="5" t="s">
        <v>21</v>
      </c>
      <c r="AV274" s="5">
        <v>70</v>
      </c>
      <c r="AW274" s="5" t="s">
        <v>21</v>
      </c>
      <c r="AX274" s="5" t="s">
        <v>21</v>
      </c>
      <c r="AY274" s="5" t="s">
        <v>21</v>
      </c>
      <c r="AZ274" s="5" t="s">
        <v>21</v>
      </c>
      <c r="BA274" s="5" t="s">
        <v>21</v>
      </c>
      <c r="BB274" s="5" t="s">
        <v>21</v>
      </c>
      <c r="BC274" s="5" t="s">
        <v>21</v>
      </c>
      <c r="BD274" s="5" t="s">
        <v>5329</v>
      </c>
      <c r="BE274" s="5" t="str">
        <f>HYPERLINK("http://dx.doi.org/10.12795/pixelbit.103789","http://dx.doi.org/10.12795/pixelbit.103789")</f>
        <v>http://dx.doi.org/10.12795/pixelbit.103789</v>
      </c>
      <c r="BF274" s="5" t="s">
        <v>21</v>
      </c>
      <c r="BG274" s="5" t="s">
        <v>21</v>
      </c>
      <c r="BH274" s="5">
        <v>31</v>
      </c>
      <c r="BI274" s="5" t="s">
        <v>503</v>
      </c>
      <c r="BJ274" s="5" t="s">
        <v>1907</v>
      </c>
      <c r="BK274" s="5" t="s">
        <v>503</v>
      </c>
      <c r="BL274" s="5" t="s">
        <v>5330</v>
      </c>
      <c r="BM274" s="5" t="s">
        <v>21</v>
      </c>
      <c r="BN274" s="5" t="s">
        <v>864</v>
      </c>
      <c r="BO274" s="5" t="s">
        <v>21</v>
      </c>
      <c r="BP274" s="5" t="s">
        <v>21</v>
      </c>
      <c r="BQ274" s="5" t="s">
        <v>49</v>
      </c>
      <c r="BR274" s="5" t="s">
        <v>5331</v>
      </c>
      <c r="BS274" s="5" t="str">
        <f>HYPERLINK("https%3A%2F%2Fwww.webofscience.com%2Fwos%2Fwoscc%2Ffull-record%2FWOS:001252244300002","View Full Record in Web of Science")</f>
        <v>View Full Record in Web of Science</v>
      </c>
    </row>
    <row r="275" spans="1:71" x14ac:dyDescent="0.25">
      <c r="A275" t="s">
        <v>19</v>
      </c>
      <c r="B275" s="5" t="s">
        <v>5332</v>
      </c>
      <c r="C275" s="5" t="s">
        <v>21</v>
      </c>
      <c r="D275" s="5" t="s">
        <v>21</v>
      </c>
      <c r="E275" s="5" t="s">
        <v>21</v>
      </c>
      <c r="F275" s="5" t="s">
        <v>5333</v>
      </c>
      <c r="G275" s="5" t="s">
        <v>21</v>
      </c>
      <c r="H275" s="5" t="s">
        <v>21</v>
      </c>
      <c r="I275" s="5" t="s">
        <v>5334</v>
      </c>
      <c r="J275" s="12" t="s">
        <v>5335</v>
      </c>
      <c r="K275" s="5" t="s">
        <v>21</v>
      </c>
      <c r="L275" s="5" t="s">
        <v>21</v>
      </c>
      <c r="M275" s="5" t="s">
        <v>25</v>
      </c>
      <c r="N275" s="5" t="s">
        <v>26</v>
      </c>
      <c r="O275" s="5" t="s">
        <v>21</v>
      </c>
      <c r="P275" s="5" t="s">
        <v>21</v>
      </c>
      <c r="Q275" s="5" t="s">
        <v>21</v>
      </c>
      <c r="R275" s="5" t="s">
        <v>21</v>
      </c>
      <c r="S275" s="5" t="s">
        <v>21</v>
      </c>
      <c r="T275" s="5" t="s">
        <v>5336</v>
      </c>
      <c r="U275" s="5" t="s">
        <v>5337</v>
      </c>
      <c r="V275" s="5" t="s">
        <v>5338</v>
      </c>
      <c r="W275" s="5" t="s">
        <v>5339</v>
      </c>
      <c r="X275" s="5" t="s">
        <v>5340</v>
      </c>
      <c r="Y275" s="5" t="s">
        <v>5341</v>
      </c>
      <c r="Z275" s="5" t="s">
        <v>5342</v>
      </c>
      <c r="AA275" s="5" t="s">
        <v>5343</v>
      </c>
      <c r="AB275" s="5" t="s">
        <v>5344</v>
      </c>
      <c r="AC275" s="5" t="s">
        <v>5345</v>
      </c>
      <c r="AD275" s="5" t="s">
        <v>5346</v>
      </c>
      <c r="AE275" s="5" t="s">
        <v>5347</v>
      </c>
      <c r="AF275" s="5">
        <v>100</v>
      </c>
      <c r="AG275" s="5">
        <v>3</v>
      </c>
      <c r="AH275" s="5">
        <v>3</v>
      </c>
      <c r="AI275" s="5">
        <v>9</v>
      </c>
      <c r="AJ275" s="5">
        <v>23</v>
      </c>
      <c r="AK275" s="5" t="s">
        <v>1292</v>
      </c>
      <c r="AL275" s="5" t="s">
        <v>252</v>
      </c>
      <c r="AM275" s="5" t="s">
        <v>1293</v>
      </c>
      <c r="AN275" s="5" t="s">
        <v>5348</v>
      </c>
      <c r="AO275" s="5" t="s">
        <v>5349</v>
      </c>
      <c r="AP275" s="5" t="s">
        <v>21</v>
      </c>
      <c r="AQ275" s="5" t="s">
        <v>5350</v>
      </c>
      <c r="AR275" s="5" t="s">
        <v>5351</v>
      </c>
      <c r="AS275" s="5" t="s">
        <v>199</v>
      </c>
      <c r="AT275" s="5">
        <v>2024</v>
      </c>
      <c r="AU275" s="5">
        <v>54</v>
      </c>
      <c r="AV275" s="5">
        <v>8</v>
      </c>
      <c r="AW275" s="5" t="s">
        <v>21</v>
      </c>
      <c r="AX275" s="5" t="s">
        <v>21</v>
      </c>
      <c r="AY275" s="5" t="s">
        <v>21</v>
      </c>
      <c r="AZ275" s="5" t="s">
        <v>21</v>
      </c>
      <c r="BA275" s="5">
        <v>1378</v>
      </c>
      <c r="BB275" s="5">
        <v>1407</v>
      </c>
      <c r="BC275" s="5" t="s">
        <v>21</v>
      </c>
      <c r="BD275" s="5" t="s">
        <v>5352</v>
      </c>
      <c r="BE275" s="5" t="str">
        <f>HYPERLINK("http://dx.doi.org/10.1002/spe.3323","http://dx.doi.org/10.1002/spe.3323")</f>
        <v>http://dx.doi.org/10.1002/spe.3323</v>
      </c>
      <c r="BF275" s="5" t="s">
        <v>21</v>
      </c>
      <c r="BG275" s="5" t="s">
        <v>4583</v>
      </c>
      <c r="BH275" s="5">
        <v>30</v>
      </c>
      <c r="BI275" s="5" t="s">
        <v>784</v>
      </c>
      <c r="BJ275" s="5" t="s">
        <v>524</v>
      </c>
      <c r="BK275" s="5" t="s">
        <v>715</v>
      </c>
      <c r="BL275" s="5" t="s">
        <v>5353</v>
      </c>
      <c r="BM275" s="5" t="s">
        <v>21</v>
      </c>
      <c r="BN275" s="5" t="s">
        <v>21</v>
      </c>
      <c r="BO275" s="5" t="s">
        <v>21</v>
      </c>
      <c r="BP275" s="5" t="s">
        <v>21</v>
      </c>
      <c r="BQ275" s="5" t="s">
        <v>49</v>
      </c>
      <c r="BR275" s="5" t="s">
        <v>5354</v>
      </c>
      <c r="BS275" s="5" t="str">
        <f>HYPERLINK("https%3A%2F%2Fwww.webofscience.com%2Fwos%2Fwoscc%2Ffull-record%2FWOS:001176432100001","View Full Record in Web of Science")</f>
        <v>View Full Record in Web of Science</v>
      </c>
    </row>
    <row r="276" spans="1:71" x14ac:dyDescent="0.25">
      <c r="A276" t="s">
        <v>19</v>
      </c>
      <c r="B276" s="5" t="s">
        <v>5355</v>
      </c>
      <c r="C276" s="5" t="s">
        <v>21</v>
      </c>
      <c r="D276" s="5" t="s">
        <v>21</v>
      </c>
      <c r="E276" s="5" t="s">
        <v>21</v>
      </c>
      <c r="F276" s="5" t="s">
        <v>5356</v>
      </c>
      <c r="G276" s="5" t="s">
        <v>21</v>
      </c>
      <c r="H276" s="5" t="s">
        <v>21</v>
      </c>
      <c r="I276" s="5" t="s">
        <v>5357</v>
      </c>
      <c r="J276" s="12" t="s">
        <v>1955</v>
      </c>
      <c r="K276" s="5" t="s">
        <v>21</v>
      </c>
      <c r="L276" s="5" t="s">
        <v>21</v>
      </c>
      <c r="M276" s="5" t="s">
        <v>25</v>
      </c>
      <c r="N276" s="5" t="s">
        <v>26</v>
      </c>
      <c r="O276" s="5" t="s">
        <v>21</v>
      </c>
      <c r="P276" s="5" t="s">
        <v>21</v>
      </c>
      <c r="Q276" s="5" t="s">
        <v>21</v>
      </c>
      <c r="R276" s="5" t="s">
        <v>21</v>
      </c>
      <c r="S276" s="5" t="s">
        <v>21</v>
      </c>
      <c r="T276" s="5" t="s">
        <v>5358</v>
      </c>
      <c r="U276" s="5" t="s">
        <v>5359</v>
      </c>
      <c r="V276" s="5" t="s">
        <v>5360</v>
      </c>
      <c r="W276" s="5" t="s">
        <v>5361</v>
      </c>
      <c r="X276" s="5" t="s">
        <v>5362</v>
      </c>
      <c r="Y276" s="5" t="s">
        <v>5363</v>
      </c>
      <c r="Z276" s="5" t="s">
        <v>5364</v>
      </c>
      <c r="AA276" s="5" t="s">
        <v>5365</v>
      </c>
      <c r="AB276" s="5" t="s">
        <v>21</v>
      </c>
      <c r="AC276" s="5" t="s">
        <v>21</v>
      </c>
      <c r="AD276" s="5" t="s">
        <v>21</v>
      </c>
      <c r="AE276" s="5" t="s">
        <v>21</v>
      </c>
      <c r="AF276" s="5">
        <v>73</v>
      </c>
      <c r="AG276" s="5">
        <v>3</v>
      </c>
      <c r="AH276" s="5">
        <v>3</v>
      </c>
      <c r="AI276" s="5">
        <v>17</v>
      </c>
      <c r="AJ276" s="5">
        <v>33</v>
      </c>
      <c r="AK276" s="5" t="s">
        <v>1924</v>
      </c>
      <c r="AL276" s="5" t="s">
        <v>1925</v>
      </c>
      <c r="AM276" s="5" t="s">
        <v>1926</v>
      </c>
      <c r="AN276" s="5" t="s">
        <v>1966</v>
      </c>
      <c r="AO276" s="5" t="s">
        <v>1967</v>
      </c>
      <c r="AP276" s="5" t="s">
        <v>21</v>
      </c>
      <c r="AQ276" s="5" t="s">
        <v>1968</v>
      </c>
      <c r="AR276" s="5" t="s">
        <v>1969</v>
      </c>
      <c r="AS276" s="5" t="s">
        <v>176</v>
      </c>
      <c r="AT276" s="5">
        <v>2024</v>
      </c>
      <c r="AU276" s="5">
        <v>109</v>
      </c>
      <c r="AV276" s="5" t="s">
        <v>21</v>
      </c>
      <c r="AW276" s="5" t="s">
        <v>21</v>
      </c>
      <c r="AX276" s="5" t="s">
        <v>21</v>
      </c>
      <c r="AY276" s="5" t="s">
        <v>21</v>
      </c>
      <c r="AZ276" s="5" t="s">
        <v>21</v>
      </c>
      <c r="BA276" s="5">
        <v>170</v>
      </c>
      <c r="BB276" s="5">
        <v>182</v>
      </c>
      <c r="BC276" s="5" t="s">
        <v>21</v>
      </c>
      <c r="BD276" s="5" t="s">
        <v>5366</v>
      </c>
      <c r="BE276" s="5" t="str">
        <f>HYPERLINK("http://dx.doi.org/10.1016/j.gaitpost.2024.01.034","http://dx.doi.org/10.1016/j.gaitpost.2024.01.034")</f>
        <v>http://dx.doi.org/10.1016/j.gaitpost.2024.01.034</v>
      </c>
      <c r="BF276" s="5" t="s">
        <v>21</v>
      </c>
      <c r="BG276" s="5" t="s">
        <v>5367</v>
      </c>
      <c r="BH276" s="5">
        <v>13</v>
      </c>
      <c r="BI276" s="5" t="s">
        <v>1971</v>
      </c>
      <c r="BJ276" s="5" t="s">
        <v>524</v>
      </c>
      <c r="BK276" s="5" t="s">
        <v>1972</v>
      </c>
      <c r="BL276" s="5" t="s">
        <v>5368</v>
      </c>
      <c r="BM276" s="5">
        <v>38320424</v>
      </c>
      <c r="BN276" s="5" t="s">
        <v>21</v>
      </c>
      <c r="BO276" s="5" t="s">
        <v>21</v>
      </c>
      <c r="BP276" s="5" t="s">
        <v>21</v>
      </c>
      <c r="BQ276" s="5" t="s">
        <v>49</v>
      </c>
      <c r="BR276" s="5" t="s">
        <v>5369</v>
      </c>
      <c r="BS276" s="5" t="str">
        <f>HYPERLINK("https%3A%2F%2Fwww.webofscience.com%2Fwos%2Fwoscc%2Ffull-record%2FWOS:001180398500001","View Full Record in Web of Science")</f>
        <v>View Full Record in Web of Science</v>
      </c>
    </row>
    <row r="277" spans="1:71" x14ac:dyDescent="0.25">
      <c r="A277" t="s">
        <v>19</v>
      </c>
      <c r="B277" s="5" t="s">
        <v>5370</v>
      </c>
      <c r="C277" s="5" t="s">
        <v>21</v>
      </c>
      <c r="D277" s="5" t="s">
        <v>21</v>
      </c>
      <c r="E277" s="5" t="s">
        <v>21</v>
      </c>
      <c r="F277" s="5" t="s">
        <v>5371</v>
      </c>
      <c r="G277" s="5" t="s">
        <v>21</v>
      </c>
      <c r="H277" s="5" t="s">
        <v>21</v>
      </c>
      <c r="I277" s="5" t="s">
        <v>5372</v>
      </c>
      <c r="J277" s="12" t="s">
        <v>646</v>
      </c>
      <c r="K277" s="5" t="s">
        <v>21</v>
      </c>
      <c r="L277" s="5" t="s">
        <v>21</v>
      </c>
      <c r="M277" s="5" t="s">
        <v>25</v>
      </c>
      <c r="N277" s="5" t="s">
        <v>26</v>
      </c>
      <c r="O277" s="5" t="s">
        <v>21</v>
      </c>
      <c r="P277" s="5" t="s">
        <v>21</v>
      </c>
      <c r="Q277" s="5" t="s">
        <v>21</v>
      </c>
      <c r="R277" s="5" t="s">
        <v>21</v>
      </c>
      <c r="S277" s="5" t="s">
        <v>21</v>
      </c>
      <c r="T277" s="5" t="s">
        <v>5373</v>
      </c>
      <c r="U277" s="5" t="s">
        <v>5374</v>
      </c>
      <c r="V277" s="5" t="s">
        <v>5375</v>
      </c>
      <c r="W277" s="5" t="s">
        <v>5376</v>
      </c>
      <c r="X277" s="5" t="s">
        <v>5377</v>
      </c>
      <c r="Y277" s="5" t="s">
        <v>5378</v>
      </c>
      <c r="Z277" s="5" t="s">
        <v>5379</v>
      </c>
      <c r="AA277" s="5" t="s">
        <v>21</v>
      </c>
      <c r="AB277" s="5" t="s">
        <v>5380</v>
      </c>
      <c r="AC277" s="5" t="s">
        <v>5381</v>
      </c>
      <c r="AD277" s="5" t="s">
        <v>1646</v>
      </c>
      <c r="AE277" s="5" t="s">
        <v>3987</v>
      </c>
      <c r="AF277" s="5">
        <v>77</v>
      </c>
      <c r="AG277" s="5">
        <v>3</v>
      </c>
      <c r="AH277" s="5">
        <v>3</v>
      </c>
      <c r="AI277" s="5">
        <v>1</v>
      </c>
      <c r="AJ277" s="5">
        <v>12</v>
      </c>
      <c r="AK277" s="5" t="s">
        <v>659</v>
      </c>
      <c r="AL277" s="5" t="s">
        <v>660</v>
      </c>
      <c r="AM277" s="5" t="s">
        <v>661</v>
      </c>
      <c r="AN277" s="5" t="s">
        <v>662</v>
      </c>
      <c r="AO277" s="5" t="s">
        <v>663</v>
      </c>
      <c r="AP277" s="5" t="s">
        <v>21</v>
      </c>
      <c r="AQ277" s="5" t="s">
        <v>664</v>
      </c>
      <c r="AR277" s="5" t="s">
        <v>665</v>
      </c>
      <c r="AS277" s="5" t="s">
        <v>21</v>
      </c>
      <c r="AT277" s="5">
        <v>2024</v>
      </c>
      <c r="AU277" s="5">
        <v>32</v>
      </c>
      <c r="AV277" s="5" t="s">
        <v>21</v>
      </c>
      <c r="AW277" s="5" t="s">
        <v>21</v>
      </c>
      <c r="AX277" s="5" t="s">
        <v>21</v>
      </c>
      <c r="AY277" s="5" t="s">
        <v>21</v>
      </c>
      <c r="AZ277" s="5" t="s">
        <v>21</v>
      </c>
      <c r="BA277" s="5">
        <v>759</v>
      </c>
      <c r="BB277" s="5">
        <v>769</v>
      </c>
      <c r="BC277" s="5" t="s">
        <v>21</v>
      </c>
      <c r="BD277" s="5" t="s">
        <v>5382</v>
      </c>
      <c r="BE277" s="5" t="str">
        <f>HYPERLINK("http://dx.doi.org/10.1109/TNSRE.2024.3363728","http://dx.doi.org/10.1109/TNSRE.2024.3363728")</f>
        <v>http://dx.doi.org/10.1109/TNSRE.2024.3363728</v>
      </c>
      <c r="BF277" s="5" t="s">
        <v>21</v>
      </c>
      <c r="BG277" s="5" t="s">
        <v>21</v>
      </c>
      <c r="BH277" s="5">
        <v>11</v>
      </c>
      <c r="BI277" s="5" t="s">
        <v>667</v>
      </c>
      <c r="BJ277" s="5" t="s">
        <v>524</v>
      </c>
      <c r="BK277" s="5" t="s">
        <v>668</v>
      </c>
      <c r="BL277" s="5" t="s">
        <v>5383</v>
      </c>
      <c r="BM277" s="5">
        <v>38329870</v>
      </c>
      <c r="BN277" s="5" t="s">
        <v>1909</v>
      </c>
      <c r="BO277" s="5" t="s">
        <v>21</v>
      </c>
      <c r="BP277" s="5" t="s">
        <v>21</v>
      </c>
      <c r="BQ277" s="5" t="s">
        <v>49</v>
      </c>
      <c r="BR277" s="5" t="s">
        <v>5384</v>
      </c>
      <c r="BS277" s="5" t="str">
        <f>HYPERLINK("https%3A%2F%2Fwww.webofscience.com%2Fwos%2Fwoscc%2Ffull-record%2FWOS:001165224000004","View Full Record in Web of Science")</f>
        <v>View Full Record in Web of Science</v>
      </c>
    </row>
    <row r="278" spans="1:71" x14ac:dyDescent="0.25">
      <c r="A278" t="s">
        <v>19</v>
      </c>
      <c r="B278" s="5" t="s">
        <v>5385</v>
      </c>
      <c r="C278" s="5" t="s">
        <v>21</v>
      </c>
      <c r="D278" s="5" t="s">
        <v>21</v>
      </c>
      <c r="E278" s="5" t="s">
        <v>21</v>
      </c>
      <c r="F278" s="5" t="s">
        <v>5386</v>
      </c>
      <c r="G278" s="5" t="s">
        <v>21</v>
      </c>
      <c r="H278" s="5" t="s">
        <v>21</v>
      </c>
      <c r="I278" s="5" t="s">
        <v>5387</v>
      </c>
      <c r="J278" s="12" t="s">
        <v>2815</v>
      </c>
      <c r="K278" s="5" t="s">
        <v>21</v>
      </c>
      <c r="L278" s="5" t="s">
        <v>21</v>
      </c>
      <c r="M278" s="5" t="s">
        <v>25</v>
      </c>
      <c r="N278" s="5" t="s">
        <v>26</v>
      </c>
      <c r="O278" s="5" t="s">
        <v>21</v>
      </c>
      <c r="P278" s="5" t="s">
        <v>21</v>
      </c>
      <c r="Q278" s="5" t="s">
        <v>21</v>
      </c>
      <c r="R278" s="5" t="s">
        <v>21</v>
      </c>
      <c r="S278" s="5" t="s">
        <v>21</v>
      </c>
      <c r="T278" s="5" t="s">
        <v>5388</v>
      </c>
      <c r="U278" s="5" t="s">
        <v>5389</v>
      </c>
      <c r="V278" s="5" t="s">
        <v>5390</v>
      </c>
      <c r="W278" s="5" t="s">
        <v>5391</v>
      </c>
      <c r="X278" s="5" t="s">
        <v>5392</v>
      </c>
      <c r="Y278" s="5" t="s">
        <v>4848</v>
      </c>
      <c r="Z278" s="5" t="s">
        <v>4849</v>
      </c>
      <c r="AA278" s="5" t="s">
        <v>1983</v>
      </c>
      <c r="AB278" s="5" t="s">
        <v>21</v>
      </c>
      <c r="AC278" s="5" t="s">
        <v>21</v>
      </c>
      <c r="AD278" s="5" t="s">
        <v>21</v>
      </c>
      <c r="AE278" s="5" t="s">
        <v>21</v>
      </c>
      <c r="AF278" s="5">
        <v>58</v>
      </c>
      <c r="AG278" s="5">
        <v>3</v>
      </c>
      <c r="AH278" s="5">
        <v>3</v>
      </c>
      <c r="AI278" s="5">
        <v>12</v>
      </c>
      <c r="AJ278" s="5">
        <v>17</v>
      </c>
      <c r="AK278" s="5" t="s">
        <v>2823</v>
      </c>
      <c r="AL278" s="5" t="s">
        <v>2824</v>
      </c>
      <c r="AM278" s="5" t="s">
        <v>2825</v>
      </c>
      <c r="AN278" s="5" t="s">
        <v>2826</v>
      </c>
      <c r="AO278" s="5" t="s">
        <v>2827</v>
      </c>
      <c r="AP278" s="5" t="s">
        <v>21</v>
      </c>
      <c r="AQ278" s="5" t="s">
        <v>2828</v>
      </c>
      <c r="AR278" s="5" t="s">
        <v>2829</v>
      </c>
      <c r="AS278" s="5" t="s">
        <v>21</v>
      </c>
      <c r="AT278" s="5">
        <v>2024</v>
      </c>
      <c r="AU278" s="5">
        <v>32</v>
      </c>
      <c r="AV278" s="5" t="s">
        <v>21</v>
      </c>
      <c r="AW278" s="5" t="s">
        <v>21</v>
      </c>
      <c r="AX278" s="5" t="s">
        <v>21</v>
      </c>
      <c r="AY278" s="5" t="s">
        <v>21</v>
      </c>
      <c r="AZ278" s="5" t="s">
        <v>21</v>
      </c>
      <c r="BA278" s="5" t="s">
        <v>21</v>
      </c>
      <c r="BB278" s="5" t="s">
        <v>21</v>
      </c>
      <c r="BC278" s="5">
        <v>3129</v>
      </c>
      <c r="BD278" s="5" t="s">
        <v>5393</v>
      </c>
      <c r="BE278" s="5" t="str">
        <f>HYPERLINK("http://dx.doi.org/10.25304/rlt.v32.3129","http://dx.doi.org/10.25304/rlt.v32.3129")</f>
        <v>http://dx.doi.org/10.25304/rlt.v32.3129</v>
      </c>
      <c r="BF278" s="5" t="s">
        <v>21</v>
      </c>
      <c r="BG278" s="5" t="s">
        <v>21</v>
      </c>
      <c r="BH278" s="5">
        <v>16</v>
      </c>
      <c r="BI278" s="5" t="s">
        <v>503</v>
      </c>
      <c r="BJ278" s="5" t="s">
        <v>1907</v>
      </c>
      <c r="BK278" s="5" t="s">
        <v>503</v>
      </c>
      <c r="BL278" s="5" t="s">
        <v>5394</v>
      </c>
      <c r="BM278" s="5" t="s">
        <v>21</v>
      </c>
      <c r="BN278" s="5" t="s">
        <v>1909</v>
      </c>
      <c r="BO278" s="5" t="s">
        <v>21</v>
      </c>
      <c r="BP278" s="5" t="s">
        <v>21</v>
      </c>
      <c r="BQ278" s="5" t="s">
        <v>49</v>
      </c>
      <c r="BR278" s="5" t="s">
        <v>5395</v>
      </c>
      <c r="BS278" s="5" t="str">
        <f>HYPERLINK("https%3A%2F%2Fwww.webofscience.com%2Fwos%2Fwoscc%2Ffull-record%2FWOS:001223022100001","View Full Record in Web of Science")</f>
        <v>View Full Record in Web of Science</v>
      </c>
    </row>
    <row r="279" spans="1:71" x14ac:dyDescent="0.25">
      <c r="A279" t="s">
        <v>19</v>
      </c>
      <c r="B279" s="5" t="s">
        <v>5396</v>
      </c>
      <c r="C279" s="5" t="s">
        <v>21</v>
      </c>
      <c r="D279" s="5" t="s">
        <v>21</v>
      </c>
      <c r="E279" s="5" t="s">
        <v>21</v>
      </c>
      <c r="F279" s="5" t="s">
        <v>5397</v>
      </c>
      <c r="G279" s="5" t="s">
        <v>21</v>
      </c>
      <c r="H279" s="5" t="s">
        <v>21</v>
      </c>
      <c r="I279" s="5" t="s">
        <v>5398</v>
      </c>
      <c r="J279" s="12" t="s">
        <v>1307</v>
      </c>
      <c r="K279" s="5" t="s">
        <v>21</v>
      </c>
      <c r="L279" s="5" t="s">
        <v>21</v>
      </c>
      <c r="M279" s="5" t="s">
        <v>25</v>
      </c>
      <c r="N279" s="5" t="s">
        <v>26</v>
      </c>
      <c r="O279" s="5" t="s">
        <v>21</v>
      </c>
      <c r="P279" s="5" t="s">
        <v>21</v>
      </c>
      <c r="Q279" s="5" t="s">
        <v>21</v>
      </c>
      <c r="R279" s="5" t="s">
        <v>21</v>
      </c>
      <c r="S279" s="5" t="s">
        <v>21</v>
      </c>
      <c r="T279" s="5" t="s">
        <v>5399</v>
      </c>
      <c r="U279" s="5" t="s">
        <v>5400</v>
      </c>
      <c r="V279" s="5" t="s">
        <v>5401</v>
      </c>
      <c r="W279" s="5" t="s">
        <v>5402</v>
      </c>
      <c r="X279" s="5" t="s">
        <v>5403</v>
      </c>
      <c r="Y279" s="5" t="s">
        <v>5404</v>
      </c>
      <c r="Z279" s="5" t="s">
        <v>5405</v>
      </c>
      <c r="AA279" s="5" t="s">
        <v>5406</v>
      </c>
      <c r="AB279" s="5" t="s">
        <v>5407</v>
      </c>
      <c r="AC279" s="5" t="s">
        <v>5408</v>
      </c>
      <c r="AD279" s="5" t="s">
        <v>5409</v>
      </c>
      <c r="AE279" s="5" t="s">
        <v>5410</v>
      </c>
      <c r="AF279" s="5">
        <v>104</v>
      </c>
      <c r="AG279" s="5">
        <v>3</v>
      </c>
      <c r="AH279" s="5">
        <v>3</v>
      </c>
      <c r="AI279" s="5">
        <v>7</v>
      </c>
      <c r="AJ279" s="5">
        <v>33</v>
      </c>
      <c r="AK279" s="5" t="s">
        <v>1319</v>
      </c>
      <c r="AL279" s="5" t="s">
        <v>1320</v>
      </c>
      <c r="AM279" s="5" t="s">
        <v>4420</v>
      </c>
      <c r="AN279" s="5" t="s">
        <v>1322</v>
      </c>
      <c r="AO279" s="5" t="s">
        <v>21</v>
      </c>
      <c r="AP279" s="5" t="s">
        <v>21</v>
      </c>
      <c r="AQ279" s="5" t="s">
        <v>1307</v>
      </c>
      <c r="AR279" s="5" t="s">
        <v>1323</v>
      </c>
      <c r="AS279" s="5" t="s">
        <v>21</v>
      </c>
      <c r="AT279" s="5">
        <v>2024</v>
      </c>
      <c r="AU279" s="5">
        <v>12</v>
      </c>
      <c r="AV279" s="5" t="s">
        <v>21</v>
      </c>
      <c r="AW279" s="5" t="s">
        <v>21</v>
      </c>
      <c r="AX279" s="5" t="s">
        <v>21</v>
      </c>
      <c r="AY279" s="5" t="s">
        <v>21</v>
      </c>
      <c r="AZ279" s="5" t="s">
        <v>21</v>
      </c>
      <c r="BA279" s="5" t="s">
        <v>21</v>
      </c>
      <c r="BB279" s="5" t="s">
        <v>21</v>
      </c>
      <c r="BC279" s="5" t="s">
        <v>5411</v>
      </c>
      <c r="BD279" s="5" t="s">
        <v>5412</v>
      </c>
      <c r="BE279" s="5" t="str">
        <f>HYPERLINK("http://dx.doi.org/10.2196/49906","http://dx.doi.org/10.2196/49906")</f>
        <v>http://dx.doi.org/10.2196/49906</v>
      </c>
      <c r="BF279" s="5" t="s">
        <v>21</v>
      </c>
      <c r="BG279" s="5" t="s">
        <v>21</v>
      </c>
      <c r="BH279" s="5">
        <v>25</v>
      </c>
      <c r="BI279" s="5" t="s">
        <v>1326</v>
      </c>
      <c r="BJ279" s="5" t="s">
        <v>524</v>
      </c>
      <c r="BK279" s="5" t="s">
        <v>1326</v>
      </c>
      <c r="BL279" s="5" t="s">
        <v>5413</v>
      </c>
      <c r="BM279" s="5">
        <v>38373032</v>
      </c>
      <c r="BN279" s="5" t="s">
        <v>163</v>
      </c>
      <c r="BO279" s="5" t="s">
        <v>21</v>
      </c>
      <c r="BP279" s="5" t="s">
        <v>21</v>
      </c>
      <c r="BQ279" s="5" t="s">
        <v>49</v>
      </c>
      <c r="BR279" s="5" t="s">
        <v>5414</v>
      </c>
      <c r="BS279" s="5" t="str">
        <f>HYPERLINK("https%3A%2F%2Fwww.webofscience.com%2Fwos%2Fwoscc%2Ffull-record%2FWOS:001174667700001","View Full Record in Web of Science")</f>
        <v>View Full Record in Web of Science</v>
      </c>
    </row>
    <row r="280" spans="1:71" x14ac:dyDescent="0.25">
      <c r="A280" t="s">
        <v>19</v>
      </c>
      <c r="B280" s="5" t="s">
        <v>5415</v>
      </c>
      <c r="C280" s="5" t="s">
        <v>21</v>
      </c>
      <c r="D280" s="5" t="s">
        <v>21</v>
      </c>
      <c r="E280" s="5" t="s">
        <v>21</v>
      </c>
      <c r="F280" s="5" t="s">
        <v>5416</v>
      </c>
      <c r="G280" s="5" t="s">
        <v>21</v>
      </c>
      <c r="H280" s="5" t="s">
        <v>21</v>
      </c>
      <c r="I280" s="5" t="s">
        <v>5417</v>
      </c>
      <c r="J280" s="12" t="s">
        <v>24</v>
      </c>
      <c r="K280" s="5" t="s">
        <v>21</v>
      </c>
      <c r="L280" s="5" t="s">
        <v>21</v>
      </c>
      <c r="M280" s="5" t="s">
        <v>25</v>
      </c>
      <c r="N280" s="5" t="s">
        <v>76</v>
      </c>
      <c r="O280" s="5" t="s">
        <v>21</v>
      </c>
      <c r="P280" s="5" t="s">
        <v>21</v>
      </c>
      <c r="Q280" s="5" t="s">
        <v>21</v>
      </c>
      <c r="R280" s="5" t="s">
        <v>21</v>
      </c>
      <c r="S280" s="5" t="s">
        <v>21</v>
      </c>
      <c r="T280" s="5" t="s">
        <v>5418</v>
      </c>
      <c r="U280" s="5" t="s">
        <v>5419</v>
      </c>
      <c r="V280" s="5" t="s">
        <v>5420</v>
      </c>
      <c r="W280" s="5" t="s">
        <v>5421</v>
      </c>
      <c r="X280" s="5" t="s">
        <v>5422</v>
      </c>
      <c r="Y280" s="5" t="s">
        <v>5423</v>
      </c>
      <c r="Z280" s="5" t="s">
        <v>5424</v>
      </c>
      <c r="AA280" s="5" t="s">
        <v>5425</v>
      </c>
      <c r="AB280" s="5" t="s">
        <v>2804</v>
      </c>
      <c r="AC280" s="5" t="s">
        <v>21</v>
      </c>
      <c r="AD280" s="5" t="s">
        <v>21</v>
      </c>
      <c r="AE280" s="5" t="s">
        <v>21</v>
      </c>
      <c r="AF280" s="5">
        <v>69</v>
      </c>
      <c r="AG280" s="5">
        <v>3</v>
      </c>
      <c r="AH280" s="5">
        <v>3</v>
      </c>
      <c r="AI280" s="5">
        <v>5</v>
      </c>
      <c r="AJ280" s="5">
        <v>14</v>
      </c>
      <c r="AK280" s="5" t="s">
        <v>35</v>
      </c>
      <c r="AL280" s="5" t="s">
        <v>36</v>
      </c>
      <c r="AM280" s="5" t="s">
        <v>37</v>
      </c>
      <c r="AN280" s="5" t="s">
        <v>38</v>
      </c>
      <c r="AO280" s="5" t="s">
        <v>39</v>
      </c>
      <c r="AP280" s="5" t="s">
        <v>21</v>
      </c>
      <c r="AQ280" s="5" t="s">
        <v>40</v>
      </c>
      <c r="AR280" s="5" t="s">
        <v>41</v>
      </c>
      <c r="AS280" s="5" t="s">
        <v>269</v>
      </c>
      <c r="AT280" s="5">
        <v>2024</v>
      </c>
      <c r="AU280" s="5">
        <v>54</v>
      </c>
      <c r="AV280" s="5">
        <v>12</v>
      </c>
      <c r="AW280" s="5" t="s">
        <v>21</v>
      </c>
      <c r="AX280" s="5" t="s">
        <v>21</v>
      </c>
      <c r="AY280" s="5" t="s">
        <v>21</v>
      </c>
      <c r="AZ280" s="5" t="s">
        <v>21</v>
      </c>
      <c r="BA280" s="5">
        <v>4719</v>
      </c>
      <c r="BB280" s="5">
        <v>4739</v>
      </c>
      <c r="BC280" s="5" t="s">
        <v>21</v>
      </c>
      <c r="BD280" s="5" t="s">
        <v>5426</v>
      </c>
      <c r="BE280" s="5" t="str">
        <f>HYPERLINK("http://dx.doi.org/10.1007/s10803-023-06168-3","http://dx.doi.org/10.1007/s10803-023-06168-3")</f>
        <v>http://dx.doi.org/10.1007/s10803-023-06168-3</v>
      </c>
      <c r="BF280" s="5" t="s">
        <v>21</v>
      </c>
      <c r="BG280" s="5" t="s">
        <v>4401</v>
      </c>
      <c r="BH280" s="5">
        <v>21</v>
      </c>
      <c r="BI280" s="5" t="s">
        <v>44</v>
      </c>
      <c r="BJ280" s="5" t="s">
        <v>45</v>
      </c>
      <c r="BK280" s="5" t="s">
        <v>46</v>
      </c>
      <c r="BL280" s="5" t="s">
        <v>5427</v>
      </c>
      <c r="BM280" s="5">
        <v>38015318</v>
      </c>
      <c r="BN280" s="5" t="s">
        <v>21</v>
      </c>
      <c r="BO280" s="5" t="s">
        <v>21</v>
      </c>
      <c r="BP280" s="5" t="s">
        <v>21</v>
      </c>
      <c r="BQ280" s="5" t="s">
        <v>49</v>
      </c>
      <c r="BR280" s="5" t="s">
        <v>5428</v>
      </c>
      <c r="BS280" s="5" t="str">
        <f>HYPERLINK("https%3A%2F%2Fwww.webofscience.com%2Fwos%2Fwoscc%2Ffull-record%2FWOS:001120721600001","View Full Record in Web of Science")</f>
        <v>View Full Record in Web of Science</v>
      </c>
    </row>
    <row r="281" spans="1:71" x14ac:dyDescent="0.25">
      <c r="A281" t="s">
        <v>19</v>
      </c>
      <c r="B281" s="5" t="s">
        <v>5429</v>
      </c>
      <c r="C281" s="5" t="s">
        <v>21</v>
      </c>
      <c r="D281" s="5" t="s">
        <v>21</v>
      </c>
      <c r="E281" s="5" t="s">
        <v>21</v>
      </c>
      <c r="F281" s="5" t="s">
        <v>5430</v>
      </c>
      <c r="G281" s="5" t="s">
        <v>21</v>
      </c>
      <c r="H281" s="5" t="s">
        <v>21</v>
      </c>
      <c r="I281" s="5" t="s">
        <v>5431</v>
      </c>
      <c r="J281" s="12" t="s">
        <v>3228</v>
      </c>
      <c r="K281" s="5" t="s">
        <v>21</v>
      </c>
      <c r="L281" s="5" t="s">
        <v>21</v>
      </c>
      <c r="M281" s="5" t="s">
        <v>25</v>
      </c>
      <c r="N281" s="5" t="s">
        <v>26</v>
      </c>
      <c r="O281" s="5" t="s">
        <v>21</v>
      </c>
      <c r="P281" s="5" t="s">
        <v>21</v>
      </c>
      <c r="Q281" s="5" t="s">
        <v>21</v>
      </c>
      <c r="R281" s="5" t="s">
        <v>21</v>
      </c>
      <c r="S281" s="5" t="s">
        <v>21</v>
      </c>
      <c r="T281" s="5" t="s">
        <v>5432</v>
      </c>
      <c r="U281" s="5" t="s">
        <v>5433</v>
      </c>
      <c r="V281" s="5" t="s">
        <v>5434</v>
      </c>
      <c r="W281" s="5" t="s">
        <v>5435</v>
      </c>
      <c r="X281" s="5" t="s">
        <v>5436</v>
      </c>
      <c r="Y281" s="5" t="s">
        <v>5437</v>
      </c>
      <c r="Z281" s="5" t="s">
        <v>4849</v>
      </c>
      <c r="AA281" s="5" t="s">
        <v>5438</v>
      </c>
      <c r="AB281" s="5" t="s">
        <v>5439</v>
      </c>
      <c r="AC281" s="5" t="s">
        <v>21</v>
      </c>
      <c r="AD281" s="5" t="s">
        <v>21</v>
      </c>
      <c r="AE281" s="5" t="s">
        <v>21</v>
      </c>
      <c r="AF281" s="5">
        <v>89</v>
      </c>
      <c r="AG281" s="5">
        <v>3</v>
      </c>
      <c r="AH281" s="5">
        <v>3</v>
      </c>
      <c r="AI281" s="5">
        <v>18</v>
      </c>
      <c r="AJ281" s="5">
        <v>50</v>
      </c>
      <c r="AK281" s="5" t="s">
        <v>3236</v>
      </c>
      <c r="AL281" s="5" t="s">
        <v>64</v>
      </c>
      <c r="AM281" s="5" t="s">
        <v>3237</v>
      </c>
      <c r="AN281" s="5" t="s">
        <v>3238</v>
      </c>
      <c r="AO281" s="5" t="s">
        <v>3239</v>
      </c>
      <c r="AP281" s="5" t="s">
        <v>21</v>
      </c>
      <c r="AQ281" s="5" t="s">
        <v>3240</v>
      </c>
      <c r="AR281" s="5" t="s">
        <v>3241</v>
      </c>
      <c r="AS281" s="5" t="s">
        <v>269</v>
      </c>
      <c r="AT281" s="5">
        <v>2023</v>
      </c>
      <c r="AU281" s="5">
        <v>27</v>
      </c>
      <c r="AV281" s="5">
        <v>4</v>
      </c>
      <c r="AW281" s="5" t="s">
        <v>21</v>
      </c>
      <c r="AX281" s="5" t="s">
        <v>21</v>
      </c>
      <c r="AY281" s="5" t="s">
        <v>21</v>
      </c>
      <c r="AZ281" s="5" t="s">
        <v>21</v>
      </c>
      <c r="BA281" s="5">
        <v>3101</v>
      </c>
      <c r="BB281" s="5">
        <v>3113</v>
      </c>
      <c r="BC281" s="5" t="s">
        <v>21</v>
      </c>
      <c r="BD281" s="5" t="s">
        <v>5440</v>
      </c>
      <c r="BE281" s="5" t="str">
        <f>HYPERLINK("http://dx.doi.org/10.1007/s10055-023-00856-2","http://dx.doi.org/10.1007/s10055-023-00856-2")</f>
        <v>http://dx.doi.org/10.1007/s10055-023-00856-2</v>
      </c>
      <c r="BF281" s="5" t="s">
        <v>21</v>
      </c>
      <c r="BG281" s="5" t="s">
        <v>4821</v>
      </c>
      <c r="BH281" s="5">
        <v>13</v>
      </c>
      <c r="BI281" s="5" t="s">
        <v>3244</v>
      </c>
      <c r="BJ281" s="5" t="s">
        <v>524</v>
      </c>
      <c r="BK281" s="5" t="s">
        <v>3245</v>
      </c>
      <c r="BL281" s="5" t="s">
        <v>5441</v>
      </c>
      <c r="BM281" s="5" t="s">
        <v>21</v>
      </c>
      <c r="BN281" s="5" t="s">
        <v>21</v>
      </c>
      <c r="BO281" s="5" t="s">
        <v>21</v>
      </c>
      <c r="BP281" s="5" t="s">
        <v>21</v>
      </c>
      <c r="BQ281" s="5" t="s">
        <v>49</v>
      </c>
      <c r="BR281" s="5" t="s">
        <v>5442</v>
      </c>
      <c r="BS281" s="5" t="str">
        <f>HYPERLINK("https%3A%2F%2Fwww.webofscience.com%2Fwos%2Fwoscc%2Ffull-record%2FWOS:001062310100001","View Full Record in Web of Science")</f>
        <v>View Full Record in Web of Science</v>
      </c>
    </row>
    <row r="282" spans="1:71" x14ac:dyDescent="0.25">
      <c r="A282" t="s">
        <v>19</v>
      </c>
      <c r="B282" s="5" t="s">
        <v>5443</v>
      </c>
      <c r="C282" s="5" t="s">
        <v>21</v>
      </c>
      <c r="D282" s="5" t="s">
        <v>21</v>
      </c>
      <c r="E282" s="5" t="s">
        <v>21</v>
      </c>
      <c r="F282" s="5" t="s">
        <v>5444</v>
      </c>
      <c r="G282" s="5" t="s">
        <v>21</v>
      </c>
      <c r="H282" s="5" t="s">
        <v>21</v>
      </c>
      <c r="I282" s="5" t="s">
        <v>5445</v>
      </c>
      <c r="J282" s="12" t="s">
        <v>3465</v>
      </c>
      <c r="K282" s="5" t="s">
        <v>21</v>
      </c>
      <c r="L282" s="5" t="s">
        <v>21</v>
      </c>
      <c r="M282" s="5" t="s">
        <v>25</v>
      </c>
      <c r="N282" s="5" t="s">
        <v>26</v>
      </c>
      <c r="O282" s="5" t="s">
        <v>21</v>
      </c>
      <c r="P282" s="5" t="s">
        <v>21</v>
      </c>
      <c r="Q282" s="5" t="s">
        <v>21</v>
      </c>
      <c r="R282" s="5" t="s">
        <v>21</v>
      </c>
      <c r="S282" s="5" t="s">
        <v>21</v>
      </c>
      <c r="T282" s="5" t="s">
        <v>5446</v>
      </c>
      <c r="U282" s="5" t="s">
        <v>5447</v>
      </c>
      <c r="V282" s="5" t="s">
        <v>5448</v>
      </c>
      <c r="W282" s="5" t="s">
        <v>5449</v>
      </c>
      <c r="X282" s="5" t="s">
        <v>5450</v>
      </c>
      <c r="Y282" s="5" t="s">
        <v>5451</v>
      </c>
      <c r="Z282" s="5" t="s">
        <v>5452</v>
      </c>
      <c r="AA282" s="5" t="s">
        <v>21</v>
      </c>
      <c r="AB282" s="5" t="s">
        <v>5453</v>
      </c>
      <c r="AC282" s="5" t="s">
        <v>5454</v>
      </c>
      <c r="AD282" s="5" t="s">
        <v>5455</v>
      </c>
      <c r="AE282" s="5" t="s">
        <v>5456</v>
      </c>
      <c r="AF282" s="5">
        <v>55</v>
      </c>
      <c r="AG282" s="5">
        <v>3</v>
      </c>
      <c r="AH282" s="5">
        <v>3</v>
      </c>
      <c r="AI282" s="5">
        <v>7</v>
      </c>
      <c r="AJ282" s="5">
        <v>31</v>
      </c>
      <c r="AK282" s="5" t="s">
        <v>1377</v>
      </c>
      <c r="AL282" s="5" t="s">
        <v>64</v>
      </c>
      <c r="AM282" s="5" t="s">
        <v>1378</v>
      </c>
      <c r="AN282" s="5" t="s">
        <v>21</v>
      </c>
      <c r="AO282" s="5" t="s">
        <v>3477</v>
      </c>
      <c r="AP282" s="5" t="s">
        <v>21</v>
      </c>
      <c r="AQ282" s="5" t="s">
        <v>3465</v>
      </c>
      <c r="AR282" s="5" t="s">
        <v>3478</v>
      </c>
      <c r="AS282" s="5" t="s">
        <v>5457</v>
      </c>
      <c r="AT282" s="5">
        <v>2023</v>
      </c>
      <c r="AU282" s="5">
        <v>24</v>
      </c>
      <c r="AV282" s="5">
        <v>1</v>
      </c>
      <c r="AW282" s="5" t="s">
        <v>21</v>
      </c>
      <c r="AX282" s="5" t="s">
        <v>21</v>
      </c>
      <c r="AY282" s="5" t="s">
        <v>21</v>
      </c>
      <c r="AZ282" s="5" t="s">
        <v>21</v>
      </c>
      <c r="BA282" s="5" t="s">
        <v>21</v>
      </c>
      <c r="BB282" s="5" t="s">
        <v>21</v>
      </c>
      <c r="BC282" s="5">
        <v>278</v>
      </c>
      <c r="BD282" s="5" t="s">
        <v>5458</v>
      </c>
      <c r="BE282" s="5" t="str">
        <f>HYPERLINK("http://dx.doi.org/10.1186/s13063-023-07241-z","http://dx.doi.org/10.1186/s13063-023-07241-z")</f>
        <v>http://dx.doi.org/10.1186/s13063-023-07241-z</v>
      </c>
      <c r="BF282" s="5" t="s">
        <v>21</v>
      </c>
      <c r="BG282" s="5" t="s">
        <v>21</v>
      </c>
      <c r="BH282" s="5">
        <v>11</v>
      </c>
      <c r="BI282" s="5" t="s">
        <v>3481</v>
      </c>
      <c r="BJ282" s="5" t="s">
        <v>524</v>
      </c>
      <c r="BK282" s="5" t="s">
        <v>3482</v>
      </c>
      <c r="BL282" s="5" t="s">
        <v>5459</v>
      </c>
      <c r="BM282" s="5">
        <v>37061694</v>
      </c>
      <c r="BN282" s="5" t="s">
        <v>864</v>
      </c>
      <c r="BO282" s="5" t="s">
        <v>21</v>
      </c>
      <c r="BP282" s="5" t="s">
        <v>21</v>
      </c>
      <c r="BQ282" s="5" t="s">
        <v>49</v>
      </c>
      <c r="BR282" s="5" t="s">
        <v>5460</v>
      </c>
      <c r="BS282" s="5" t="str">
        <f>HYPERLINK("https%3A%2F%2Fwww.webofscience.com%2Fwos%2Fwoscc%2Ffull-record%2FWOS:000972160800003","View Full Record in Web of Science")</f>
        <v>View Full Record in Web of Science</v>
      </c>
    </row>
    <row r="283" spans="1:71" x14ac:dyDescent="0.25">
      <c r="A283" t="s">
        <v>19</v>
      </c>
      <c r="B283" s="5" t="s">
        <v>5461</v>
      </c>
      <c r="C283" s="5" t="s">
        <v>21</v>
      </c>
      <c r="D283" s="5" t="s">
        <v>21</v>
      </c>
      <c r="E283" s="5" t="s">
        <v>21</v>
      </c>
      <c r="F283" s="5" t="s">
        <v>5462</v>
      </c>
      <c r="G283" s="5" t="s">
        <v>21</v>
      </c>
      <c r="H283" s="5" t="s">
        <v>21</v>
      </c>
      <c r="I283" s="5" t="s">
        <v>5463</v>
      </c>
      <c r="J283" s="12" t="s">
        <v>4118</v>
      </c>
      <c r="K283" s="5" t="s">
        <v>21</v>
      </c>
      <c r="L283" s="5" t="s">
        <v>21</v>
      </c>
      <c r="M283" s="5" t="s">
        <v>25</v>
      </c>
      <c r="N283" s="5" t="s">
        <v>76</v>
      </c>
      <c r="O283" s="5" t="s">
        <v>21</v>
      </c>
      <c r="P283" s="5" t="s">
        <v>21</v>
      </c>
      <c r="Q283" s="5" t="s">
        <v>21</v>
      </c>
      <c r="R283" s="5" t="s">
        <v>21</v>
      </c>
      <c r="S283" s="5" t="s">
        <v>21</v>
      </c>
      <c r="T283" s="5" t="s">
        <v>5464</v>
      </c>
      <c r="U283" s="5" t="s">
        <v>5465</v>
      </c>
      <c r="V283" s="5" t="s">
        <v>5466</v>
      </c>
      <c r="W283" s="5" t="s">
        <v>5467</v>
      </c>
      <c r="X283" s="5" t="s">
        <v>5468</v>
      </c>
      <c r="Y283" s="5" t="s">
        <v>5469</v>
      </c>
      <c r="Z283" s="5" t="s">
        <v>5470</v>
      </c>
      <c r="AA283" s="5" t="s">
        <v>5471</v>
      </c>
      <c r="AB283" s="5" t="s">
        <v>5472</v>
      </c>
      <c r="AC283" s="5" t="s">
        <v>5473</v>
      </c>
      <c r="AD283" s="5" t="s">
        <v>5474</v>
      </c>
      <c r="AE283" s="5" t="s">
        <v>5475</v>
      </c>
      <c r="AF283" s="5">
        <v>20</v>
      </c>
      <c r="AG283" s="5">
        <v>3</v>
      </c>
      <c r="AH283" s="5">
        <v>3</v>
      </c>
      <c r="AI283" s="5">
        <v>3</v>
      </c>
      <c r="AJ283" s="5">
        <v>21</v>
      </c>
      <c r="AK283" s="5" t="s">
        <v>4126</v>
      </c>
      <c r="AL283" s="5" t="s">
        <v>4127</v>
      </c>
      <c r="AM283" s="5" t="s">
        <v>4128</v>
      </c>
      <c r="AN283" s="5" t="s">
        <v>4129</v>
      </c>
      <c r="AO283" s="5" t="s">
        <v>4130</v>
      </c>
      <c r="AP283" s="5" t="s">
        <v>21</v>
      </c>
      <c r="AQ283" s="5" t="s">
        <v>4131</v>
      </c>
      <c r="AR283" s="5" t="s">
        <v>4132</v>
      </c>
      <c r="AS283" s="5" t="s">
        <v>782</v>
      </c>
      <c r="AT283" s="5">
        <v>2023</v>
      </c>
      <c r="AU283" s="5">
        <v>83</v>
      </c>
      <c r="AV283" s="5" t="s">
        <v>21</v>
      </c>
      <c r="AW283" s="5" t="s">
        <v>21</v>
      </c>
      <c r="AX283" s="5">
        <v>2</v>
      </c>
      <c r="AY283" s="5" t="s">
        <v>21</v>
      </c>
      <c r="AZ283" s="5" t="s">
        <v>21</v>
      </c>
      <c r="BA283" s="5">
        <v>48</v>
      </c>
      <c r="BB283" s="5">
        <v>52</v>
      </c>
      <c r="BC283" s="5" t="s">
        <v>21</v>
      </c>
      <c r="BD283" s="5" t="s">
        <v>21</v>
      </c>
      <c r="BE283" s="5" t="s">
        <v>21</v>
      </c>
      <c r="BF283" s="5" t="s">
        <v>21</v>
      </c>
      <c r="BG283" s="5" t="s">
        <v>21</v>
      </c>
      <c r="BH283" s="5">
        <v>5</v>
      </c>
      <c r="BI283" s="5" t="s">
        <v>1603</v>
      </c>
      <c r="BJ283" s="5" t="s">
        <v>524</v>
      </c>
      <c r="BK283" s="5" t="s">
        <v>1604</v>
      </c>
      <c r="BL283" s="5" t="s">
        <v>5476</v>
      </c>
      <c r="BM283" s="5">
        <v>36820483</v>
      </c>
      <c r="BN283" s="5" t="s">
        <v>21</v>
      </c>
      <c r="BO283" s="5" t="s">
        <v>21</v>
      </c>
      <c r="BP283" s="5" t="s">
        <v>21</v>
      </c>
      <c r="BQ283" s="5" t="s">
        <v>49</v>
      </c>
      <c r="BR283" s="5" t="s">
        <v>5477</v>
      </c>
      <c r="BS283" s="5" t="str">
        <f>HYPERLINK("https%3A%2F%2Fwww.webofscience.com%2Fwos%2Fwoscc%2Ffull-record%2FWOS:001021046700011","View Full Record in Web of Science")</f>
        <v>View Full Record in Web of Science</v>
      </c>
    </row>
    <row r="284" spans="1:71" x14ac:dyDescent="0.25">
      <c r="A284" t="s">
        <v>19</v>
      </c>
      <c r="B284" s="5" t="s">
        <v>5478</v>
      </c>
      <c r="C284" s="5" t="s">
        <v>21</v>
      </c>
      <c r="D284" s="5" t="s">
        <v>21</v>
      </c>
      <c r="E284" s="5" t="s">
        <v>21</v>
      </c>
      <c r="F284" s="5" t="s">
        <v>5479</v>
      </c>
      <c r="G284" s="5" t="s">
        <v>21</v>
      </c>
      <c r="H284" s="5" t="s">
        <v>21</v>
      </c>
      <c r="I284" s="5" t="s">
        <v>5480</v>
      </c>
      <c r="J284" s="12" t="s">
        <v>646</v>
      </c>
      <c r="K284" s="5" t="s">
        <v>21</v>
      </c>
      <c r="L284" s="5" t="s">
        <v>21</v>
      </c>
      <c r="M284" s="5" t="s">
        <v>25</v>
      </c>
      <c r="N284" s="5" t="s">
        <v>26</v>
      </c>
      <c r="O284" s="5" t="s">
        <v>21</v>
      </c>
      <c r="P284" s="5" t="s">
        <v>21</v>
      </c>
      <c r="Q284" s="5" t="s">
        <v>21</v>
      </c>
      <c r="R284" s="5" t="s">
        <v>21</v>
      </c>
      <c r="S284" s="5" t="s">
        <v>21</v>
      </c>
      <c r="T284" s="5" t="s">
        <v>5481</v>
      </c>
      <c r="U284" s="5" t="s">
        <v>5482</v>
      </c>
      <c r="V284" s="5" t="s">
        <v>5483</v>
      </c>
      <c r="W284" s="5" t="s">
        <v>5484</v>
      </c>
      <c r="X284" s="5" t="s">
        <v>1658</v>
      </c>
      <c r="Y284" s="5" t="s">
        <v>5485</v>
      </c>
      <c r="Z284" s="5" t="s">
        <v>5486</v>
      </c>
      <c r="AA284" s="5" t="s">
        <v>21</v>
      </c>
      <c r="AB284" s="5" t="s">
        <v>5487</v>
      </c>
      <c r="AC284" s="5" t="s">
        <v>21</v>
      </c>
      <c r="AD284" s="5" t="s">
        <v>21</v>
      </c>
      <c r="AE284" s="5" t="s">
        <v>21</v>
      </c>
      <c r="AF284" s="5">
        <v>26</v>
      </c>
      <c r="AG284" s="5">
        <v>3</v>
      </c>
      <c r="AH284" s="5">
        <v>4</v>
      </c>
      <c r="AI284" s="5">
        <v>0</v>
      </c>
      <c r="AJ284" s="5">
        <v>7</v>
      </c>
      <c r="AK284" s="5" t="s">
        <v>659</v>
      </c>
      <c r="AL284" s="5" t="s">
        <v>660</v>
      </c>
      <c r="AM284" s="5" t="s">
        <v>661</v>
      </c>
      <c r="AN284" s="5" t="s">
        <v>662</v>
      </c>
      <c r="AO284" s="5" t="s">
        <v>663</v>
      </c>
      <c r="AP284" s="5" t="s">
        <v>21</v>
      </c>
      <c r="AQ284" s="5" t="s">
        <v>664</v>
      </c>
      <c r="AR284" s="5" t="s">
        <v>665</v>
      </c>
      <c r="AS284" s="5" t="s">
        <v>21</v>
      </c>
      <c r="AT284" s="5">
        <v>2023</v>
      </c>
      <c r="AU284" s="5">
        <v>31</v>
      </c>
      <c r="AV284" s="5" t="s">
        <v>21</v>
      </c>
      <c r="AW284" s="5" t="s">
        <v>21</v>
      </c>
      <c r="AX284" s="5" t="s">
        <v>21</v>
      </c>
      <c r="AY284" s="5" t="s">
        <v>21</v>
      </c>
      <c r="AZ284" s="5" t="s">
        <v>21</v>
      </c>
      <c r="BA284" s="5">
        <v>1492</v>
      </c>
      <c r="BB284" s="5">
        <v>1501</v>
      </c>
      <c r="BC284" s="5" t="s">
        <v>21</v>
      </c>
      <c r="BD284" s="5" t="s">
        <v>5488</v>
      </c>
      <c r="BE284" s="5" t="str">
        <f>HYPERLINK("http://dx.doi.org/10.1109/TNSRE.2023.3248126","http://dx.doi.org/10.1109/TNSRE.2023.3248126")</f>
        <v>http://dx.doi.org/10.1109/TNSRE.2023.3248126</v>
      </c>
      <c r="BF284" s="5" t="s">
        <v>21</v>
      </c>
      <c r="BG284" s="5" t="s">
        <v>21</v>
      </c>
      <c r="BH284" s="5">
        <v>10</v>
      </c>
      <c r="BI284" s="5" t="s">
        <v>667</v>
      </c>
      <c r="BJ284" s="5" t="s">
        <v>524</v>
      </c>
      <c r="BK284" s="5" t="s">
        <v>668</v>
      </c>
      <c r="BL284" s="5" t="s">
        <v>5489</v>
      </c>
      <c r="BM284" s="5">
        <v>37027605</v>
      </c>
      <c r="BN284" s="5" t="s">
        <v>1909</v>
      </c>
      <c r="BO284" s="5" t="s">
        <v>21</v>
      </c>
      <c r="BP284" s="5" t="s">
        <v>21</v>
      </c>
      <c r="BQ284" s="5" t="s">
        <v>49</v>
      </c>
      <c r="BR284" s="5" t="s">
        <v>5490</v>
      </c>
      <c r="BS284" s="5" t="str">
        <f>HYPERLINK("https%3A%2F%2Fwww.webofscience.com%2Fwos%2Fwoscc%2Ffull-record%2FWOS:000943534200003","View Full Record in Web of Science")</f>
        <v>View Full Record in Web of Science</v>
      </c>
    </row>
    <row r="285" spans="1:71" x14ac:dyDescent="0.25">
      <c r="A285" t="s">
        <v>19</v>
      </c>
      <c r="B285" s="5" t="s">
        <v>5491</v>
      </c>
      <c r="C285" s="5" t="s">
        <v>21</v>
      </c>
      <c r="D285" s="5" t="s">
        <v>21</v>
      </c>
      <c r="E285" s="5" t="s">
        <v>21</v>
      </c>
      <c r="F285" s="5" t="s">
        <v>5492</v>
      </c>
      <c r="G285" s="5" t="s">
        <v>21</v>
      </c>
      <c r="H285" s="5" t="s">
        <v>21</v>
      </c>
      <c r="I285" s="5" t="s">
        <v>5493</v>
      </c>
      <c r="J285" s="12" t="s">
        <v>24</v>
      </c>
      <c r="K285" s="5" t="s">
        <v>21</v>
      </c>
      <c r="L285" s="5" t="s">
        <v>21</v>
      </c>
      <c r="M285" s="5" t="s">
        <v>25</v>
      </c>
      <c r="N285" s="5" t="s">
        <v>26</v>
      </c>
      <c r="O285" s="5" t="s">
        <v>21</v>
      </c>
      <c r="P285" s="5" t="s">
        <v>21</v>
      </c>
      <c r="Q285" s="5" t="s">
        <v>21</v>
      </c>
      <c r="R285" s="5" t="s">
        <v>21</v>
      </c>
      <c r="S285" s="5" t="s">
        <v>21</v>
      </c>
      <c r="T285" s="5" t="s">
        <v>5494</v>
      </c>
      <c r="U285" s="5" t="s">
        <v>5495</v>
      </c>
      <c r="V285" s="5" t="s">
        <v>5496</v>
      </c>
      <c r="W285" s="5" t="s">
        <v>5497</v>
      </c>
      <c r="X285" s="5" t="s">
        <v>4661</v>
      </c>
      <c r="Y285" s="5" t="s">
        <v>5498</v>
      </c>
      <c r="Z285" s="5" t="s">
        <v>4663</v>
      </c>
      <c r="AA285" s="5" t="s">
        <v>21</v>
      </c>
      <c r="AB285" s="5" t="s">
        <v>5499</v>
      </c>
      <c r="AC285" s="5" t="s">
        <v>5500</v>
      </c>
      <c r="AD285" s="5" t="s">
        <v>5501</v>
      </c>
      <c r="AE285" s="5" t="s">
        <v>5502</v>
      </c>
      <c r="AF285" s="5">
        <v>46</v>
      </c>
      <c r="AG285" s="5">
        <v>3</v>
      </c>
      <c r="AH285" s="5">
        <v>3</v>
      </c>
      <c r="AI285" s="5">
        <v>2</v>
      </c>
      <c r="AJ285" s="5">
        <v>5</v>
      </c>
      <c r="AK285" s="5" t="s">
        <v>35</v>
      </c>
      <c r="AL285" s="5" t="s">
        <v>36</v>
      </c>
      <c r="AM285" s="5" t="s">
        <v>37</v>
      </c>
      <c r="AN285" s="5" t="s">
        <v>38</v>
      </c>
      <c r="AO285" s="5" t="s">
        <v>39</v>
      </c>
      <c r="AP285" s="5" t="s">
        <v>21</v>
      </c>
      <c r="AQ285" s="5" t="s">
        <v>40</v>
      </c>
      <c r="AR285" s="5" t="s">
        <v>41</v>
      </c>
      <c r="AS285" s="5" t="s">
        <v>176</v>
      </c>
      <c r="AT285" s="5">
        <v>2024</v>
      </c>
      <c r="AU285" s="5">
        <v>54</v>
      </c>
      <c r="AV285" s="5">
        <v>3</v>
      </c>
      <c r="AW285" s="5" t="s">
        <v>21</v>
      </c>
      <c r="AX285" s="5" t="s">
        <v>21</v>
      </c>
      <c r="AY285" s="5" t="s">
        <v>21</v>
      </c>
      <c r="AZ285" s="5" t="s">
        <v>21</v>
      </c>
      <c r="BA285" s="5">
        <v>1078</v>
      </c>
      <c r="BB285" s="5">
        <v>1087</v>
      </c>
      <c r="BC285" s="5" t="s">
        <v>21</v>
      </c>
      <c r="BD285" s="5" t="s">
        <v>5503</v>
      </c>
      <c r="BE285" s="5" t="str">
        <f>HYPERLINK("http://dx.doi.org/10.1007/s10803-022-05850-2","http://dx.doi.org/10.1007/s10803-022-05850-2")</f>
        <v>http://dx.doi.org/10.1007/s10803-022-05850-2</v>
      </c>
      <c r="BF285" s="5" t="s">
        <v>21</v>
      </c>
      <c r="BG285" s="5" t="s">
        <v>5213</v>
      </c>
      <c r="BH285" s="5">
        <v>10</v>
      </c>
      <c r="BI285" s="5" t="s">
        <v>44</v>
      </c>
      <c r="BJ285" s="5" t="s">
        <v>45</v>
      </c>
      <c r="BK285" s="5" t="s">
        <v>46</v>
      </c>
      <c r="BL285" s="5" t="s">
        <v>5504</v>
      </c>
      <c r="BM285" s="5">
        <v>36512194</v>
      </c>
      <c r="BN285" s="5" t="s">
        <v>2205</v>
      </c>
      <c r="BO285" s="5" t="s">
        <v>21</v>
      </c>
      <c r="BP285" s="5" t="s">
        <v>21</v>
      </c>
      <c r="BQ285" s="5" t="s">
        <v>49</v>
      </c>
      <c r="BR285" s="5" t="s">
        <v>5505</v>
      </c>
      <c r="BS285" s="5" t="str">
        <f>HYPERLINK("https%3A%2F%2Fwww.webofscience.com%2Fwos%2Fwoscc%2Ffull-record%2FWOS:000898774700001","View Full Record in Web of Science")</f>
        <v>View Full Record in Web of Science</v>
      </c>
    </row>
    <row r="286" spans="1:71" x14ac:dyDescent="0.25">
      <c r="A286" t="s">
        <v>19</v>
      </c>
      <c r="B286" s="5" t="s">
        <v>5506</v>
      </c>
      <c r="C286" s="5" t="s">
        <v>21</v>
      </c>
      <c r="D286" s="5" t="s">
        <v>21</v>
      </c>
      <c r="E286" s="5" t="s">
        <v>21</v>
      </c>
      <c r="F286" s="5" t="s">
        <v>5507</v>
      </c>
      <c r="G286" s="5" t="s">
        <v>21</v>
      </c>
      <c r="H286" s="5" t="s">
        <v>21</v>
      </c>
      <c r="I286" s="5" t="s">
        <v>5508</v>
      </c>
      <c r="J286" s="12" t="s">
        <v>674</v>
      </c>
      <c r="K286" s="5" t="s">
        <v>21</v>
      </c>
      <c r="L286" s="5" t="s">
        <v>21</v>
      </c>
      <c r="M286" s="5" t="s">
        <v>25</v>
      </c>
      <c r="N286" s="5" t="s">
        <v>26</v>
      </c>
      <c r="O286" s="5" t="s">
        <v>21</v>
      </c>
      <c r="P286" s="5" t="s">
        <v>21</v>
      </c>
      <c r="Q286" s="5" t="s">
        <v>21</v>
      </c>
      <c r="R286" s="5" t="s">
        <v>21</v>
      </c>
      <c r="S286" s="5" t="s">
        <v>21</v>
      </c>
      <c r="T286" s="5" t="s">
        <v>5509</v>
      </c>
      <c r="U286" s="5" t="s">
        <v>5510</v>
      </c>
      <c r="V286" s="5" t="s">
        <v>5511</v>
      </c>
      <c r="W286" s="5" t="s">
        <v>5512</v>
      </c>
      <c r="X286" s="5" t="s">
        <v>5513</v>
      </c>
      <c r="Y286" s="5" t="s">
        <v>5514</v>
      </c>
      <c r="Z286" s="5" t="s">
        <v>5515</v>
      </c>
      <c r="AA286" s="5" t="s">
        <v>5516</v>
      </c>
      <c r="AB286" s="5" t="s">
        <v>3933</v>
      </c>
      <c r="AC286" s="5" t="s">
        <v>5517</v>
      </c>
      <c r="AD286" s="5" t="s">
        <v>5517</v>
      </c>
      <c r="AE286" s="5" t="s">
        <v>5518</v>
      </c>
      <c r="AF286" s="5">
        <v>55</v>
      </c>
      <c r="AG286" s="5">
        <v>3</v>
      </c>
      <c r="AH286" s="5">
        <v>3</v>
      </c>
      <c r="AI286" s="5">
        <v>7</v>
      </c>
      <c r="AJ286" s="5">
        <v>29</v>
      </c>
      <c r="AK286" s="5" t="s">
        <v>684</v>
      </c>
      <c r="AL286" s="5" t="s">
        <v>685</v>
      </c>
      <c r="AM286" s="5" t="s">
        <v>686</v>
      </c>
      <c r="AN286" s="5" t="s">
        <v>687</v>
      </c>
      <c r="AO286" s="5" t="s">
        <v>21</v>
      </c>
      <c r="AP286" s="5" t="s">
        <v>21</v>
      </c>
      <c r="AQ286" s="5" t="s">
        <v>688</v>
      </c>
      <c r="AR286" s="5" t="s">
        <v>689</v>
      </c>
      <c r="AS286" s="5" t="s">
        <v>5519</v>
      </c>
      <c r="AT286" s="5">
        <v>2022</v>
      </c>
      <c r="AU286" s="5">
        <v>15</v>
      </c>
      <c r="AV286" s="5">
        <v>6</v>
      </c>
      <c r="AW286" s="5" t="s">
        <v>21</v>
      </c>
      <c r="AX286" s="5" t="s">
        <v>21</v>
      </c>
      <c r="AY286" s="5" t="s">
        <v>21</v>
      </c>
      <c r="AZ286" s="5" t="s">
        <v>21</v>
      </c>
      <c r="BA286" s="5">
        <v>798</v>
      </c>
      <c r="BB286" s="5">
        <v>811</v>
      </c>
      <c r="BC286" s="5" t="s">
        <v>21</v>
      </c>
      <c r="BD286" s="5" t="s">
        <v>5520</v>
      </c>
      <c r="BE286" s="5" t="str">
        <f>HYPERLINK("http://dx.doi.org/10.1109/TLT.2022.3199334","http://dx.doi.org/10.1109/TLT.2022.3199334")</f>
        <v>http://dx.doi.org/10.1109/TLT.2022.3199334</v>
      </c>
      <c r="BF286" s="5" t="s">
        <v>21</v>
      </c>
      <c r="BG286" s="5" t="s">
        <v>21</v>
      </c>
      <c r="BH286" s="5">
        <v>14</v>
      </c>
      <c r="BI286" s="5" t="s">
        <v>292</v>
      </c>
      <c r="BJ286" s="5" t="s">
        <v>92</v>
      </c>
      <c r="BK286" s="5" t="s">
        <v>293</v>
      </c>
      <c r="BL286" s="5" t="s">
        <v>5521</v>
      </c>
      <c r="BM286" s="5" t="s">
        <v>21</v>
      </c>
      <c r="BN286" s="5" t="s">
        <v>21</v>
      </c>
      <c r="BO286" s="5" t="s">
        <v>21</v>
      </c>
      <c r="BP286" s="5" t="s">
        <v>21</v>
      </c>
      <c r="BQ286" s="5" t="s">
        <v>49</v>
      </c>
      <c r="BR286" s="5" t="s">
        <v>5522</v>
      </c>
      <c r="BS286" s="5" t="str">
        <f>HYPERLINK("https%3A%2F%2Fwww.webofscience.com%2Fwos%2Fwoscc%2Ffull-record%2FWOS:000911279300013","View Full Record in Web of Science")</f>
        <v>View Full Record in Web of Science</v>
      </c>
    </row>
    <row r="287" spans="1:71" x14ac:dyDescent="0.25">
      <c r="A287" t="s">
        <v>19</v>
      </c>
      <c r="B287" s="5" t="s">
        <v>5523</v>
      </c>
      <c r="C287" s="5" t="s">
        <v>21</v>
      </c>
      <c r="D287" s="5" t="s">
        <v>21</v>
      </c>
      <c r="E287" s="5" t="s">
        <v>21</v>
      </c>
      <c r="F287" s="5" t="s">
        <v>5524</v>
      </c>
      <c r="G287" s="5" t="s">
        <v>21</v>
      </c>
      <c r="H287" s="5" t="s">
        <v>21</v>
      </c>
      <c r="I287" s="5" t="s">
        <v>5525</v>
      </c>
      <c r="J287" s="12" t="s">
        <v>2329</v>
      </c>
      <c r="K287" s="5" t="s">
        <v>21</v>
      </c>
      <c r="L287" s="5" t="s">
        <v>21</v>
      </c>
      <c r="M287" s="5" t="s">
        <v>25</v>
      </c>
      <c r="N287" s="5" t="s">
        <v>26</v>
      </c>
      <c r="O287" s="5" t="s">
        <v>21</v>
      </c>
      <c r="P287" s="5" t="s">
        <v>21</v>
      </c>
      <c r="Q287" s="5" t="s">
        <v>21</v>
      </c>
      <c r="R287" s="5" t="s">
        <v>21</v>
      </c>
      <c r="S287" s="5" t="s">
        <v>21</v>
      </c>
      <c r="T287" s="5" t="s">
        <v>5526</v>
      </c>
      <c r="U287" s="5" t="s">
        <v>5527</v>
      </c>
      <c r="V287" s="5" t="s">
        <v>5528</v>
      </c>
      <c r="W287" s="5" t="s">
        <v>5529</v>
      </c>
      <c r="X287" s="5" t="s">
        <v>5530</v>
      </c>
      <c r="Y287" s="5" t="s">
        <v>5531</v>
      </c>
      <c r="Z287" s="5" t="s">
        <v>5532</v>
      </c>
      <c r="AA287" s="5" t="s">
        <v>5533</v>
      </c>
      <c r="AB287" s="5" t="s">
        <v>5534</v>
      </c>
      <c r="AC287" s="5" t="s">
        <v>5535</v>
      </c>
      <c r="AD287" s="5" t="s">
        <v>5536</v>
      </c>
      <c r="AE287" s="5" t="s">
        <v>5537</v>
      </c>
      <c r="AF287" s="5">
        <v>57</v>
      </c>
      <c r="AG287" s="5">
        <v>3</v>
      </c>
      <c r="AH287" s="5">
        <v>3</v>
      </c>
      <c r="AI287" s="5">
        <v>1</v>
      </c>
      <c r="AJ287" s="5">
        <v>21</v>
      </c>
      <c r="AK287" s="5" t="s">
        <v>153</v>
      </c>
      <c r="AL287" s="5" t="s">
        <v>154</v>
      </c>
      <c r="AM287" s="5" t="s">
        <v>155</v>
      </c>
      <c r="AN287" s="5" t="s">
        <v>2342</v>
      </c>
      <c r="AO287" s="5" t="s">
        <v>21</v>
      </c>
      <c r="AP287" s="5" t="s">
        <v>21</v>
      </c>
      <c r="AQ287" s="5" t="s">
        <v>2343</v>
      </c>
      <c r="AR287" s="5" t="s">
        <v>2344</v>
      </c>
      <c r="AS287" s="5" t="s">
        <v>5538</v>
      </c>
      <c r="AT287" s="5">
        <v>2022</v>
      </c>
      <c r="AU287" s="5">
        <v>13</v>
      </c>
      <c r="AV287" s="5" t="s">
        <v>21</v>
      </c>
      <c r="AW287" s="5" t="s">
        <v>21</v>
      </c>
      <c r="AX287" s="5" t="s">
        <v>21</v>
      </c>
      <c r="AY287" s="5" t="s">
        <v>21</v>
      </c>
      <c r="AZ287" s="5" t="s">
        <v>21</v>
      </c>
      <c r="BA287" s="5" t="s">
        <v>21</v>
      </c>
      <c r="BB287" s="5" t="s">
        <v>21</v>
      </c>
      <c r="BC287" s="5">
        <v>934880</v>
      </c>
      <c r="BD287" s="5" t="s">
        <v>5539</v>
      </c>
      <c r="BE287" s="5" t="str">
        <f>HYPERLINK("http://dx.doi.org/10.3389/fpsyg.2022.934880","http://dx.doi.org/10.3389/fpsyg.2022.934880")</f>
        <v>http://dx.doi.org/10.3389/fpsyg.2022.934880</v>
      </c>
      <c r="BF287" s="5" t="s">
        <v>21</v>
      </c>
      <c r="BG287" s="5" t="s">
        <v>21</v>
      </c>
      <c r="BH287" s="5">
        <v>11</v>
      </c>
      <c r="BI287" s="5" t="s">
        <v>825</v>
      </c>
      <c r="BJ287" s="5" t="s">
        <v>45</v>
      </c>
      <c r="BK287" s="5" t="s">
        <v>46</v>
      </c>
      <c r="BL287" s="5" t="s">
        <v>5540</v>
      </c>
      <c r="BM287" s="5">
        <v>36312091</v>
      </c>
      <c r="BN287" s="5" t="s">
        <v>864</v>
      </c>
      <c r="BO287" s="5" t="s">
        <v>21</v>
      </c>
      <c r="BP287" s="5" t="s">
        <v>21</v>
      </c>
      <c r="BQ287" s="5" t="s">
        <v>49</v>
      </c>
      <c r="BR287" s="5" t="s">
        <v>5541</v>
      </c>
      <c r="BS287" s="5" t="str">
        <f>HYPERLINK("https%3A%2F%2Fwww.webofscience.com%2Fwos%2Fwoscc%2Ffull-record%2FWOS:000876738800001","View Full Record in Web of Science")</f>
        <v>View Full Record in Web of Science</v>
      </c>
    </row>
    <row r="288" spans="1:71" x14ac:dyDescent="0.25">
      <c r="A288" t="s">
        <v>19</v>
      </c>
      <c r="B288" s="5" t="s">
        <v>5542</v>
      </c>
      <c r="C288" s="5" t="s">
        <v>21</v>
      </c>
      <c r="D288" s="5" t="s">
        <v>21</v>
      </c>
      <c r="E288" s="5" t="s">
        <v>21</v>
      </c>
      <c r="F288" s="5" t="s">
        <v>5543</v>
      </c>
      <c r="G288" s="5" t="s">
        <v>21</v>
      </c>
      <c r="H288" s="5" t="s">
        <v>21</v>
      </c>
      <c r="I288" s="5" t="s">
        <v>5544</v>
      </c>
      <c r="J288" s="12" t="s">
        <v>2972</v>
      </c>
      <c r="K288" s="5" t="s">
        <v>21</v>
      </c>
      <c r="L288" s="5" t="s">
        <v>21</v>
      </c>
      <c r="M288" s="5" t="s">
        <v>25</v>
      </c>
      <c r="N288" s="5" t="s">
        <v>76</v>
      </c>
      <c r="O288" s="5" t="s">
        <v>21</v>
      </c>
      <c r="P288" s="5" t="s">
        <v>21</v>
      </c>
      <c r="Q288" s="5" t="s">
        <v>21</v>
      </c>
      <c r="R288" s="5" t="s">
        <v>21</v>
      </c>
      <c r="S288" s="5" t="s">
        <v>21</v>
      </c>
      <c r="T288" s="5" t="s">
        <v>5545</v>
      </c>
      <c r="U288" s="5" t="s">
        <v>5546</v>
      </c>
      <c r="V288" s="5" t="s">
        <v>5547</v>
      </c>
      <c r="W288" s="5" t="s">
        <v>5548</v>
      </c>
      <c r="X288" s="5" t="s">
        <v>5549</v>
      </c>
      <c r="Y288" s="5" t="s">
        <v>5550</v>
      </c>
      <c r="Z288" s="5" t="s">
        <v>5225</v>
      </c>
      <c r="AA288" s="5" t="s">
        <v>5551</v>
      </c>
      <c r="AB288" s="5" t="s">
        <v>5552</v>
      </c>
      <c r="AC288" s="5" t="s">
        <v>5228</v>
      </c>
      <c r="AD288" s="5" t="s">
        <v>5229</v>
      </c>
      <c r="AE288" s="5" t="s">
        <v>5553</v>
      </c>
      <c r="AF288" s="5">
        <v>37</v>
      </c>
      <c r="AG288" s="5">
        <v>3</v>
      </c>
      <c r="AH288" s="5">
        <v>3</v>
      </c>
      <c r="AI288" s="5">
        <v>5</v>
      </c>
      <c r="AJ288" s="5">
        <v>34</v>
      </c>
      <c r="AK288" s="5" t="s">
        <v>2981</v>
      </c>
      <c r="AL288" s="5" t="s">
        <v>2982</v>
      </c>
      <c r="AM288" s="5" t="s">
        <v>2983</v>
      </c>
      <c r="AN288" s="5" t="s">
        <v>2984</v>
      </c>
      <c r="AO288" s="5" t="s">
        <v>21</v>
      </c>
      <c r="AP288" s="5" t="s">
        <v>21</v>
      </c>
      <c r="AQ288" s="5" t="s">
        <v>2985</v>
      </c>
      <c r="AR288" s="5" t="s">
        <v>2986</v>
      </c>
      <c r="AS288" s="5" t="s">
        <v>4917</v>
      </c>
      <c r="AT288" s="5">
        <v>2022</v>
      </c>
      <c r="AU288" s="5">
        <v>16</v>
      </c>
      <c r="AV288" s="5">
        <v>2</v>
      </c>
      <c r="AW288" s="5" t="s">
        <v>21</v>
      </c>
      <c r="AX288" s="5" t="s">
        <v>21</v>
      </c>
      <c r="AY288" s="5" t="s">
        <v>501</v>
      </c>
      <c r="AZ288" s="5" t="s">
        <v>21</v>
      </c>
      <c r="BA288" s="5">
        <v>147</v>
      </c>
      <c r="BB288" s="5">
        <v>154</v>
      </c>
      <c r="BC288" s="5" t="s">
        <v>21</v>
      </c>
      <c r="BD288" s="5" t="s">
        <v>5554</v>
      </c>
      <c r="BE288" s="5" t="str">
        <f>HYPERLINK("http://dx.doi.org/10.1108/JET-05-2022-0038","http://dx.doi.org/10.1108/JET-05-2022-0038")</f>
        <v>http://dx.doi.org/10.1108/JET-05-2022-0038</v>
      </c>
      <c r="BF288" s="5" t="s">
        <v>21</v>
      </c>
      <c r="BG288" s="5" t="s">
        <v>3738</v>
      </c>
      <c r="BH288" s="5">
        <v>8</v>
      </c>
      <c r="BI288" s="5" t="s">
        <v>2990</v>
      </c>
      <c r="BJ288" s="5" t="s">
        <v>1907</v>
      </c>
      <c r="BK288" s="5" t="s">
        <v>2990</v>
      </c>
      <c r="BL288" s="5" t="s">
        <v>4919</v>
      </c>
      <c r="BM288" s="5" t="s">
        <v>21</v>
      </c>
      <c r="BN288" s="5" t="s">
        <v>137</v>
      </c>
      <c r="BO288" s="5" t="s">
        <v>21</v>
      </c>
      <c r="BP288" s="5" t="s">
        <v>21</v>
      </c>
      <c r="BQ288" s="5" t="s">
        <v>49</v>
      </c>
      <c r="BR288" s="5" t="s">
        <v>5555</v>
      </c>
      <c r="BS288" s="5" t="str">
        <f>HYPERLINK("https%3A%2F%2Fwww.webofscience.com%2Fwos%2Fwoscc%2Ffull-record%2FWOS:000834185900001","View Full Record in Web of Science")</f>
        <v>View Full Record in Web of Science</v>
      </c>
    </row>
    <row r="289" spans="1:71" x14ac:dyDescent="0.25">
      <c r="A289" t="s">
        <v>19</v>
      </c>
      <c r="B289" s="5" t="s">
        <v>5556</v>
      </c>
      <c r="C289" s="5" t="s">
        <v>21</v>
      </c>
      <c r="D289" s="5" t="s">
        <v>21</v>
      </c>
      <c r="E289" s="5" t="s">
        <v>21</v>
      </c>
      <c r="F289" s="5" t="s">
        <v>5557</v>
      </c>
      <c r="G289" s="5" t="s">
        <v>21</v>
      </c>
      <c r="H289" s="5" t="s">
        <v>21</v>
      </c>
      <c r="I289" s="5" t="s">
        <v>5558</v>
      </c>
      <c r="J289" s="12" t="s">
        <v>646</v>
      </c>
      <c r="K289" s="5" t="s">
        <v>21</v>
      </c>
      <c r="L289" s="5" t="s">
        <v>21</v>
      </c>
      <c r="M289" s="5" t="s">
        <v>25</v>
      </c>
      <c r="N289" s="5" t="s">
        <v>26</v>
      </c>
      <c r="O289" s="5" t="s">
        <v>21</v>
      </c>
      <c r="P289" s="5" t="s">
        <v>21</v>
      </c>
      <c r="Q289" s="5" t="s">
        <v>21</v>
      </c>
      <c r="R289" s="5" t="s">
        <v>21</v>
      </c>
      <c r="S289" s="5" t="s">
        <v>21</v>
      </c>
      <c r="T289" s="5" t="s">
        <v>5559</v>
      </c>
      <c r="U289" s="5" t="s">
        <v>5560</v>
      </c>
      <c r="V289" s="5" t="s">
        <v>5561</v>
      </c>
      <c r="W289" s="5" t="s">
        <v>5562</v>
      </c>
      <c r="X289" s="5" t="s">
        <v>5563</v>
      </c>
      <c r="Y289" s="5" t="s">
        <v>5378</v>
      </c>
      <c r="Z289" s="5" t="s">
        <v>5564</v>
      </c>
      <c r="AA289" s="5" t="s">
        <v>21</v>
      </c>
      <c r="AB289" s="5" t="s">
        <v>5565</v>
      </c>
      <c r="AC289" s="5" t="s">
        <v>5566</v>
      </c>
      <c r="AD289" s="5" t="s">
        <v>1646</v>
      </c>
      <c r="AE289" s="5" t="s">
        <v>5567</v>
      </c>
      <c r="AF289" s="5">
        <v>83</v>
      </c>
      <c r="AG289" s="5">
        <v>3</v>
      </c>
      <c r="AH289" s="5">
        <v>3</v>
      </c>
      <c r="AI289" s="5">
        <v>5</v>
      </c>
      <c r="AJ289" s="5">
        <v>29</v>
      </c>
      <c r="AK289" s="5" t="s">
        <v>659</v>
      </c>
      <c r="AL289" s="5" t="s">
        <v>660</v>
      </c>
      <c r="AM289" s="5" t="s">
        <v>661</v>
      </c>
      <c r="AN289" s="5" t="s">
        <v>662</v>
      </c>
      <c r="AO289" s="5" t="s">
        <v>663</v>
      </c>
      <c r="AP289" s="5" t="s">
        <v>21</v>
      </c>
      <c r="AQ289" s="5" t="s">
        <v>664</v>
      </c>
      <c r="AR289" s="5" t="s">
        <v>665</v>
      </c>
      <c r="AS289" s="5" t="s">
        <v>21</v>
      </c>
      <c r="AT289" s="5">
        <v>2022</v>
      </c>
      <c r="AU289" s="5">
        <v>30</v>
      </c>
      <c r="AV289" s="5" t="s">
        <v>21</v>
      </c>
      <c r="AW289" s="5" t="s">
        <v>21</v>
      </c>
      <c r="AX289" s="5" t="s">
        <v>21</v>
      </c>
      <c r="AY289" s="5" t="s">
        <v>21</v>
      </c>
      <c r="AZ289" s="5" t="s">
        <v>21</v>
      </c>
      <c r="BA289" s="5">
        <v>2373</v>
      </c>
      <c r="BB289" s="5">
        <v>2384</v>
      </c>
      <c r="BC289" s="5" t="s">
        <v>21</v>
      </c>
      <c r="BD289" s="5" t="s">
        <v>5568</v>
      </c>
      <c r="BE289" s="5" t="str">
        <f>HYPERLINK("http://dx.doi.org/10.1109/TNSRE.2022.3198933","http://dx.doi.org/10.1109/TNSRE.2022.3198933")</f>
        <v>http://dx.doi.org/10.1109/TNSRE.2022.3198933</v>
      </c>
      <c r="BF289" s="5" t="s">
        <v>21</v>
      </c>
      <c r="BG289" s="5" t="s">
        <v>21</v>
      </c>
      <c r="BH289" s="5">
        <v>12</v>
      </c>
      <c r="BI289" s="5" t="s">
        <v>667</v>
      </c>
      <c r="BJ289" s="5" t="s">
        <v>524</v>
      </c>
      <c r="BK289" s="5" t="s">
        <v>668</v>
      </c>
      <c r="BL289" s="5" t="s">
        <v>5569</v>
      </c>
      <c r="BM289" s="5">
        <v>35969548</v>
      </c>
      <c r="BN289" s="5" t="s">
        <v>21</v>
      </c>
      <c r="BO289" s="5" t="s">
        <v>21</v>
      </c>
      <c r="BP289" s="5" t="s">
        <v>21</v>
      </c>
      <c r="BQ289" s="5" t="s">
        <v>49</v>
      </c>
      <c r="BR289" s="5" t="s">
        <v>5570</v>
      </c>
      <c r="BS289" s="5" t="str">
        <f>HYPERLINK("https%3A%2F%2Fwww.webofscience.com%2Fwos%2Fwoscc%2Ffull-record%2FWOS:000849260100002","View Full Record in Web of Science")</f>
        <v>View Full Record in Web of Science</v>
      </c>
    </row>
    <row r="290" spans="1:71" x14ac:dyDescent="0.25">
      <c r="A290" t="s">
        <v>19</v>
      </c>
      <c r="B290" s="5" t="s">
        <v>5571</v>
      </c>
      <c r="C290" s="5" t="s">
        <v>21</v>
      </c>
      <c r="D290" s="5" t="s">
        <v>21</v>
      </c>
      <c r="E290" s="5" t="s">
        <v>21</v>
      </c>
      <c r="F290" s="5" t="s">
        <v>5572</v>
      </c>
      <c r="G290" s="5" t="s">
        <v>21</v>
      </c>
      <c r="H290" s="5" t="s">
        <v>21</v>
      </c>
      <c r="I290" s="5" t="s">
        <v>5573</v>
      </c>
      <c r="J290" s="12" t="s">
        <v>5574</v>
      </c>
      <c r="K290" s="5" t="s">
        <v>21</v>
      </c>
      <c r="L290" s="5" t="s">
        <v>21</v>
      </c>
      <c r="M290" s="5" t="s">
        <v>25</v>
      </c>
      <c r="N290" s="5" t="s">
        <v>26</v>
      </c>
      <c r="O290" s="5" t="s">
        <v>21</v>
      </c>
      <c r="P290" s="5" t="s">
        <v>21</v>
      </c>
      <c r="Q290" s="5" t="s">
        <v>21</v>
      </c>
      <c r="R290" s="5" t="s">
        <v>21</v>
      </c>
      <c r="S290" s="5" t="s">
        <v>21</v>
      </c>
      <c r="T290" s="5" t="s">
        <v>5575</v>
      </c>
      <c r="U290" s="5" t="s">
        <v>21</v>
      </c>
      <c r="V290" s="5" t="s">
        <v>5576</v>
      </c>
      <c r="W290" s="5" t="s">
        <v>5577</v>
      </c>
      <c r="X290" s="5" t="s">
        <v>5578</v>
      </c>
      <c r="Y290" s="5" t="s">
        <v>5579</v>
      </c>
      <c r="Z290" s="5" t="s">
        <v>5580</v>
      </c>
      <c r="AA290" s="5" t="s">
        <v>5581</v>
      </c>
      <c r="AB290" s="5" t="s">
        <v>4998</v>
      </c>
      <c r="AC290" s="5" t="s">
        <v>21</v>
      </c>
      <c r="AD290" s="5" t="s">
        <v>21</v>
      </c>
      <c r="AE290" s="5" t="s">
        <v>21</v>
      </c>
      <c r="AF290" s="5">
        <v>8</v>
      </c>
      <c r="AG290" s="5">
        <v>3</v>
      </c>
      <c r="AH290" s="5">
        <v>3</v>
      </c>
      <c r="AI290" s="5">
        <v>1</v>
      </c>
      <c r="AJ290" s="5">
        <v>4</v>
      </c>
      <c r="AK290" s="5" t="s">
        <v>5582</v>
      </c>
      <c r="AL290" s="5" t="s">
        <v>5583</v>
      </c>
      <c r="AM290" s="5" t="s">
        <v>5584</v>
      </c>
      <c r="AN290" s="5" t="s">
        <v>5585</v>
      </c>
      <c r="AO290" s="5" t="s">
        <v>5586</v>
      </c>
      <c r="AP290" s="5" t="s">
        <v>21</v>
      </c>
      <c r="AQ290" s="5" t="s">
        <v>5587</v>
      </c>
      <c r="AR290" s="5" t="s">
        <v>5588</v>
      </c>
      <c r="AS290" s="5" t="s">
        <v>1233</v>
      </c>
      <c r="AT290" s="5">
        <v>2021</v>
      </c>
      <c r="AU290" s="5">
        <v>19</v>
      </c>
      <c r="AV290" s="5" t="s">
        <v>21</v>
      </c>
      <c r="AW290" s="5" t="s">
        <v>21</v>
      </c>
      <c r="AX290" s="5" t="s">
        <v>21</v>
      </c>
      <c r="AY290" s="5" t="s">
        <v>21</v>
      </c>
      <c r="AZ290" s="5" t="s">
        <v>21</v>
      </c>
      <c r="BA290" s="5">
        <v>47</v>
      </c>
      <c r="BB290" s="5">
        <v>51</v>
      </c>
      <c r="BC290" s="5" t="s">
        <v>21</v>
      </c>
      <c r="BD290" s="5" t="s">
        <v>21</v>
      </c>
      <c r="BE290" s="5" t="s">
        <v>21</v>
      </c>
      <c r="BF290" s="5" t="s">
        <v>21</v>
      </c>
      <c r="BG290" s="5" t="s">
        <v>21</v>
      </c>
      <c r="BH290" s="5">
        <v>5</v>
      </c>
      <c r="BI290" s="5" t="s">
        <v>4702</v>
      </c>
      <c r="BJ290" s="5" t="s">
        <v>1907</v>
      </c>
      <c r="BK290" s="5" t="s">
        <v>715</v>
      </c>
      <c r="BL290" s="5" t="s">
        <v>5589</v>
      </c>
      <c r="BM290" s="5" t="s">
        <v>21</v>
      </c>
      <c r="BN290" s="5" t="s">
        <v>21</v>
      </c>
      <c r="BO290" s="5" t="s">
        <v>21</v>
      </c>
      <c r="BP290" s="5" t="s">
        <v>21</v>
      </c>
      <c r="BQ290" s="5" t="s">
        <v>49</v>
      </c>
      <c r="BR290" s="5" t="s">
        <v>5590</v>
      </c>
      <c r="BS290" s="5" t="str">
        <f>HYPERLINK("https%3A%2F%2Fwww.webofscience.com%2Fwos%2Fwoscc%2Ffull-record%2FWOS:000836499200009","View Full Record in Web of Science")</f>
        <v>View Full Record in Web of Science</v>
      </c>
    </row>
    <row r="291" spans="1:71" x14ac:dyDescent="0.25">
      <c r="A291" t="s">
        <v>19</v>
      </c>
      <c r="B291" s="5" t="s">
        <v>5591</v>
      </c>
      <c r="C291" s="5" t="s">
        <v>21</v>
      </c>
      <c r="D291" s="5" t="s">
        <v>21</v>
      </c>
      <c r="E291" s="5" t="s">
        <v>21</v>
      </c>
      <c r="F291" s="5" t="s">
        <v>5592</v>
      </c>
      <c r="G291" s="5" t="s">
        <v>21</v>
      </c>
      <c r="H291" s="5" t="s">
        <v>21</v>
      </c>
      <c r="I291" s="5" t="s">
        <v>5593</v>
      </c>
      <c r="J291" s="12" t="s">
        <v>390</v>
      </c>
      <c r="K291" s="5" t="s">
        <v>21</v>
      </c>
      <c r="L291" s="5" t="s">
        <v>21</v>
      </c>
      <c r="M291" s="5" t="s">
        <v>25</v>
      </c>
      <c r="N291" s="5" t="s">
        <v>26</v>
      </c>
      <c r="O291" s="5" t="s">
        <v>21</v>
      </c>
      <c r="P291" s="5" t="s">
        <v>21</v>
      </c>
      <c r="Q291" s="5" t="s">
        <v>21</v>
      </c>
      <c r="R291" s="5" t="s">
        <v>21</v>
      </c>
      <c r="S291" s="5" t="s">
        <v>21</v>
      </c>
      <c r="T291" s="5" t="s">
        <v>5594</v>
      </c>
      <c r="U291" s="5" t="s">
        <v>5595</v>
      </c>
      <c r="V291" s="5" t="s">
        <v>5596</v>
      </c>
      <c r="W291" s="5" t="s">
        <v>5597</v>
      </c>
      <c r="X291" s="5" t="s">
        <v>5598</v>
      </c>
      <c r="Y291" s="5" t="s">
        <v>5599</v>
      </c>
      <c r="Z291" s="5" t="s">
        <v>5600</v>
      </c>
      <c r="AA291" s="5" t="s">
        <v>5601</v>
      </c>
      <c r="AB291" s="5" t="s">
        <v>5602</v>
      </c>
      <c r="AC291" s="5" t="s">
        <v>5603</v>
      </c>
      <c r="AD291" s="5" t="s">
        <v>5604</v>
      </c>
      <c r="AE291" s="5" t="s">
        <v>5605</v>
      </c>
      <c r="AF291" s="5">
        <v>27</v>
      </c>
      <c r="AG291" s="5">
        <v>3</v>
      </c>
      <c r="AH291" s="5">
        <v>5</v>
      </c>
      <c r="AI291" s="5">
        <v>2</v>
      </c>
      <c r="AJ291" s="5">
        <v>36</v>
      </c>
      <c r="AK291" s="5" t="s">
        <v>193</v>
      </c>
      <c r="AL291" s="5" t="s">
        <v>194</v>
      </c>
      <c r="AM291" s="5" t="s">
        <v>195</v>
      </c>
      <c r="AN291" s="5" t="s">
        <v>21</v>
      </c>
      <c r="AO291" s="5" t="s">
        <v>402</v>
      </c>
      <c r="AP291" s="5" t="s">
        <v>21</v>
      </c>
      <c r="AQ291" s="5" t="s">
        <v>403</v>
      </c>
      <c r="AR291" s="5" t="s">
        <v>404</v>
      </c>
      <c r="AS291" s="5" t="s">
        <v>269</v>
      </c>
      <c r="AT291" s="5">
        <v>2020</v>
      </c>
      <c r="AU291" s="5">
        <v>17</v>
      </c>
      <c r="AV291" s="5">
        <v>23</v>
      </c>
      <c r="AW291" s="5" t="s">
        <v>21</v>
      </c>
      <c r="AX291" s="5" t="s">
        <v>21</v>
      </c>
      <c r="AY291" s="5" t="s">
        <v>21</v>
      </c>
      <c r="AZ291" s="5" t="s">
        <v>21</v>
      </c>
      <c r="BA291" s="5" t="s">
        <v>21</v>
      </c>
      <c r="BB291" s="5" t="s">
        <v>21</v>
      </c>
      <c r="BC291" s="5">
        <v>8775</v>
      </c>
      <c r="BD291" s="5" t="s">
        <v>5606</v>
      </c>
      <c r="BE291" s="5" t="str">
        <f>HYPERLINK("http://dx.doi.org/10.3390/ijerph17238775","http://dx.doi.org/10.3390/ijerph17238775")</f>
        <v>http://dx.doi.org/10.3390/ijerph17238775</v>
      </c>
      <c r="BF291" s="5" t="s">
        <v>21</v>
      </c>
      <c r="BG291" s="5" t="s">
        <v>21</v>
      </c>
      <c r="BH291" s="5">
        <v>13</v>
      </c>
      <c r="BI291" s="5" t="s">
        <v>406</v>
      </c>
      <c r="BJ291" s="5" t="s">
        <v>92</v>
      </c>
      <c r="BK291" s="5" t="s">
        <v>407</v>
      </c>
      <c r="BL291" s="5" t="s">
        <v>5607</v>
      </c>
      <c r="BM291" s="5">
        <v>33255965</v>
      </c>
      <c r="BN291" s="5" t="s">
        <v>864</v>
      </c>
      <c r="BO291" s="5" t="s">
        <v>21</v>
      </c>
      <c r="BP291" s="5" t="s">
        <v>21</v>
      </c>
      <c r="BQ291" s="5" t="s">
        <v>49</v>
      </c>
      <c r="BR291" s="5" t="s">
        <v>5608</v>
      </c>
      <c r="BS291" s="5" t="str">
        <f>HYPERLINK("https%3A%2F%2Fwww.webofscience.com%2Fwos%2Fwoscc%2Ffull-record%2FWOS:000597446400001","View Full Record in Web of Science")</f>
        <v>View Full Record in Web of Science</v>
      </c>
    </row>
    <row r="292" spans="1:71" x14ac:dyDescent="0.25">
      <c r="A292" t="s">
        <v>19</v>
      </c>
      <c r="B292" s="5" t="s">
        <v>5609</v>
      </c>
      <c r="C292" s="5" t="s">
        <v>21</v>
      </c>
      <c r="D292" s="5" t="s">
        <v>21</v>
      </c>
      <c r="E292" s="5" t="s">
        <v>21</v>
      </c>
      <c r="F292" s="5" t="s">
        <v>5610</v>
      </c>
      <c r="G292" s="5" t="s">
        <v>21</v>
      </c>
      <c r="H292" s="5" t="s">
        <v>21</v>
      </c>
      <c r="I292" s="5" t="s">
        <v>5611</v>
      </c>
      <c r="J292" s="12" t="s">
        <v>5612</v>
      </c>
      <c r="K292" s="5" t="s">
        <v>21</v>
      </c>
      <c r="L292" s="5" t="s">
        <v>21</v>
      </c>
      <c r="M292" s="5" t="s">
        <v>5613</v>
      </c>
      <c r="N292" s="5" t="s">
        <v>26</v>
      </c>
      <c r="O292" s="5" t="s">
        <v>21</v>
      </c>
      <c r="P292" s="5" t="s">
        <v>21</v>
      </c>
      <c r="Q292" s="5" t="s">
        <v>21</v>
      </c>
      <c r="R292" s="5" t="s">
        <v>21</v>
      </c>
      <c r="S292" s="5" t="s">
        <v>21</v>
      </c>
      <c r="T292" s="5" t="s">
        <v>5614</v>
      </c>
      <c r="U292" s="5" t="s">
        <v>5615</v>
      </c>
      <c r="V292" s="5" t="s">
        <v>5616</v>
      </c>
      <c r="W292" s="5" t="s">
        <v>5617</v>
      </c>
      <c r="X292" s="5" t="s">
        <v>5618</v>
      </c>
      <c r="Y292" s="5" t="s">
        <v>5619</v>
      </c>
      <c r="Z292" s="5" t="s">
        <v>5620</v>
      </c>
      <c r="AA292" s="5" t="s">
        <v>5621</v>
      </c>
      <c r="AB292" s="5" t="s">
        <v>21</v>
      </c>
      <c r="AC292" s="5" t="s">
        <v>21</v>
      </c>
      <c r="AD292" s="5" t="s">
        <v>21</v>
      </c>
      <c r="AE292" s="5" t="s">
        <v>21</v>
      </c>
      <c r="AF292" s="5">
        <v>31</v>
      </c>
      <c r="AG292" s="5">
        <v>3</v>
      </c>
      <c r="AH292" s="5">
        <v>3</v>
      </c>
      <c r="AI292" s="5">
        <v>0</v>
      </c>
      <c r="AJ292" s="5">
        <v>18</v>
      </c>
      <c r="AK292" s="5" t="s">
        <v>904</v>
      </c>
      <c r="AL292" s="5" t="s">
        <v>36</v>
      </c>
      <c r="AM292" s="5" t="s">
        <v>37</v>
      </c>
      <c r="AN292" s="5" t="s">
        <v>5622</v>
      </c>
      <c r="AO292" s="5" t="s">
        <v>5623</v>
      </c>
      <c r="AP292" s="5" t="s">
        <v>21</v>
      </c>
      <c r="AQ292" s="5" t="s">
        <v>5612</v>
      </c>
      <c r="AR292" s="5" t="s">
        <v>5624</v>
      </c>
      <c r="AS292" s="5" t="s">
        <v>543</v>
      </c>
      <c r="AT292" s="5">
        <v>2019</v>
      </c>
      <c r="AU292" s="5">
        <v>90</v>
      </c>
      <c r="AV292" s="5">
        <v>11</v>
      </c>
      <c r="AW292" s="5" t="s">
        <v>21</v>
      </c>
      <c r="AX292" s="5" t="s">
        <v>21</v>
      </c>
      <c r="AY292" s="5" t="s">
        <v>501</v>
      </c>
      <c r="AZ292" s="5" t="s">
        <v>21</v>
      </c>
      <c r="BA292" s="5">
        <v>1109</v>
      </c>
      <c r="BB292" s="5">
        <v>1116</v>
      </c>
      <c r="BC292" s="5" t="s">
        <v>21</v>
      </c>
      <c r="BD292" s="5" t="s">
        <v>5625</v>
      </c>
      <c r="BE292" s="5" t="str">
        <f>HYPERLINK("http://dx.doi.org/10.1007/s00115-019-00791-1","http://dx.doi.org/10.1007/s00115-019-00791-1")</f>
        <v>http://dx.doi.org/10.1007/s00115-019-00791-1</v>
      </c>
      <c r="BF292" s="5" t="s">
        <v>21</v>
      </c>
      <c r="BG292" s="5" t="s">
        <v>21</v>
      </c>
      <c r="BH292" s="5">
        <v>8</v>
      </c>
      <c r="BI292" s="5" t="s">
        <v>4075</v>
      </c>
      <c r="BJ292" s="5" t="s">
        <v>92</v>
      </c>
      <c r="BK292" s="5" t="s">
        <v>1526</v>
      </c>
      <c r="BL292" s="5" t="s">
        <v>5626</v>
      </c>
      <c r="BM292" s="5">
        <v>31482185</v>
      </c>
      <c r="BN292" s="5" t="s">
        <v>21</v>
      </c>
      <c r="BO292" s="5" t="s">
        <v>21</v>
      </c>
      <c r="BP292" s="5" t="s">
        <v>21</v>
      </c>
      <c r="BQ292" s="5" t="s">
        <v>49</v>
      </c>
      <c r="BR292" s="5" t="s">
        <v>5627</v>
      </c>
      <c r="BS292" s="5" t="str">
        <f>HYPERLINK("https%3A%2F%2Fwww.webofscience.com%2Fwos%2Fwoscc%2Ffull-record%2FWOS:000494890600005","View Full Record in Web of Science")</f>
        <v>View Full Record in Web of Science</v>
      </c>
    </row>
    <row r="293" spans="1:71" x14ac:dyDescent="0.25">
      <c r="A293" t="s">
        <v>19</v>
      </c>
      <c r="B293" s="5" t="s">
        <v>5628</v>
      </c>
      <c r="C293" s="5" t="s">
        <v>21</v>
      </c>
      <c r="D293" s="5" t="s">
        <v>21</v>
      </c>
      <c r="E293" s="5" t="s">
        <v>21</v>
      </c>
      <c r="F293" s="5" t="s">
        <v>5629</v>
      </c>
      <c r="G293" s="5" t="s">
        <v>21</v>
      </c>
      <c r="H293" s="5" t="s">
        <v>21</v>
      </c>
      <c r="I293" s="5" t="s">
        <v>5630</v>
      </c>
      <c r="J293" s="12" t="s">
        <v>5631</v>
      </c>
      <c r="K293" s="5" t="s">
        <v>21</v>
      </c>
      <c r="L293" s="5" t="s">
        <v>21</v>
      </c>
      <c r="M293" s="5" t="s">
        <v>25</v>
      </c>
      <c r="N293" s="5" t="s">
        <v>236</v>
      </c>
      <c r="O293" s="5" t="s">
        <v>5632</v>
      </c>
      <c r="P293" s="5" t="s">
        <v>5633</v>
      </c>
      <c r="Q293" s="5" t="s">
        <v>5634</v>
      </c>
      <c r="R293" s="5" t="s">
        <v>21</v>
      </c>
      <c r="S293" s="5" t="s">
        <v>21</v>
      </c>
      <c r="T293" s="5" t="s">
        <v>5635</v>
      </c>
      <c r="U293" s="5" t="s">
        <v>21</v>
      </c>
      <c r="V293" s="5" t="s">
        <v>5636</v>
      </c>
      <c r="W293" s="5" t="s">
        <v>5637</v>
      </c>
      <c r="X293" s="5" t="s">
        <v>5638</v>
      </c>
      <c r="Y293" s="5" t="s">
        <v>5639</v>
      </c>
      <c r="Z293" s="5" t="s">
        <v>5640</v>
      </c>
      <c r="AA293" s="5" t="s">
        <v>5641</v>
      </c>
      <c r="AB293" s="5" t="s">
        <v>21</v>
      </c>
      <c r="AC293" s="5" t="s">
        <v>21</v>
      </c>
      <c r="AD293" s="5" t="s">
        <v>21</v>
      </c>
      <c r="AE293" s="5" t="s">
        <v>21</v>
      </c>
      <c r="AF293" s="5">
        <v>9</v>
      </c>
      <c r="AG293" s="5">
        <v>3</v>
      </c>
      <c r="AH293" s="5">
        <v>3</v>
      </c>
      <c r="AI293" s="5">
        <v>0</v>
      </c>
      <c r="AJ293" s="5">
        <v>6</v>
      </c>
      <c r="AK293" s="5" t="s">
        <v>2116</v>
      </c>
      <c r="AL293" s="5" t="s">
        <v>1134</v>
      </c>
      <c r="AM293" s="5" t="s">
        <v>2117</v>
      </c>
      <c r="AN293" s="5" t="s">
        <v>5642</v>
      </c>
      <c r="AO293" s="5" t="s">
        <v>5643</v>
      </c>
      <c r="AP293" s="5" t="s">
        <v>21</v>
      </c>
      <c r="AQ293" s="5" t="s">
        <v>5644</v>
      </c>
      <c r="AR293" s="5" t="s">
        <v>5645</v>
      </c>
      <c r="AS293" s="5" t="s">
        <v>21</v>
      </c>
      <c r="AT293" s="5">
        <v>2017</v>
      </c>
      <c r="AU293" s="5">
        <v>32</v>
      </c>
      <c r="AV293" s="5">
        <v>4</v>
      </c>
      <c r="AW293" s="5" t="s">
        <v>21</v>
      </c>
      <c r="AX293" s="5" t="s">
        <v>21</v>
      </c>
      <c r="AY293" s="5" t="s">
        <v>21</v>
      </c>
      <c r="AZ293" s="5" t="s">
        <v>21</v>
      </c>
      <c r="BA293" s="5">
        <v>2971</v>
      </c>
      <c r="BB293" s="5">
        <v>2976</v>
      </c>
      <c r="BC293" s="5" t="s">
        <v>21</v>
      </c>
      <c r="BD293" s="5" t="s">
        <v>5646</v>
      </c>
      <c r="BE293" s="5" t="str">
        <f>HYPERLINK("http://dx.doi.org/10.3233/JIFS-169240","http://dx.doi.org/10.3233/JIFS-169240")</f>
        <v>http://dx.doi.org/10.3233/JIFS-169240</v>
      </c>
      <c r="BF293" s="5" t="s">
        <v>21</v>
      </c>
      <c r="BG293" s="5" t="s">
        <v>21</v>
      </c>
      <c r="BH293" s="5">
        <v>6</v>
      </c>
      <c r="BI293" s="5" t="s">
        <v>1766</v>
      </c>
      <c r="BJ293" s="5" t="s">
        <v>785</v>
      </c>
      <c r="BK293" s="5" t="s">
        <v>715</v>
      </c>
      <c r="BL293" s="5" t="s">
        <v>5647</v>
      </c>
      <c r="BM293" s="5" t="s">
        <v>21</v>
      </c>
      <c r="BN293" s="5" t="s">
        <v>21</v>
      </c>
      <c r="BO293" s="5" t="s">
        <v>21</v>
      </c>
      <c r="BP293" s="5" t="s">
        <v>21</v>
      </c>
      <c r="BQ293" s="5" t="s">
        <v>49</v>
      </c>
      <c r="BR293" s="5" t="s">
        <v>5648</v>
      </c>
      <c r="BS293" s="5" t="str">
        <f>HYPERLINK("https%3A%2F%2Fwww.webofscience.com%2Fwos%2Fwoscc%2Ffull-record%2FWOS:000399823000020","View Full Record in Web of Science")</f>
        <v>View Full Record in Web of Science</v>
      </c>
    </row>
    <row r="294" spans="1:71" x14ac:dyDescent="0.25">
      <c r="A294" t="s">
        <v>19</v>
      </c>
      <c r="B294" s="5" t="s">
        <v>5649</v>
      </c>
      <c r="C294" s="5" t="s">
        <v>21</v>
      </c>
      <c r="D294" s="5" t="s">
        <v>21</v>
      </c>
      <c r="E294" s="5" t="s">
        <v>21</v>
      </c>
      <c r="F294" s="5" t="s">
        <v>5650</v>
      </c>
      <c r="G294" s="5" t="s">
        <v>21</v>
      </c>
      <c r="H294" s="5" t="s">
        <v>21</v>
      </c>
      <c r="I294" s="5" t="s">
        <v>5651</v>
      </c>
      <c r="J294" s="12" t="s">
        <v>4407</v>
      </c>
      <c r="K294" s="5" t="s">
        <v>21</v>
      </c>
      <c r="L294" s="5" t="s">
        <v>21</v>
      </c>
      <c r="M294" s="5" t="s">
        <v>25</v>
      </c>
      <c r="N294" s="5" t="s">
        <v>26</v>
      </c>
      <c r="O294" s="5" t="s">
        <v>21</v>
      </c>
      <c r="P294" s="5" t="s">
        <v>21</v>
      </c>
      <c r="Q294" s="5" t="s">
        <v>21</v>
      </c>
      <c r="R294" s="5" t="s">
        <v>21</v>
      </c>
      <c r="S294" s="5" t="s">
        <v>21</v>
      </c>
      <c r="T294" s="5" t="s">
        <v>5652</v>
      </c>
      <c r="U294" s="5" t="s">
        <v>5653</v>
      </c>
      <c r="V294" s="5" t="s">
        <v>5654</v>
      </c>
      <c r="W294" s="5" t="s">
        <v>5655</v>
      </c>
      <c r="X294" s="5" t="s">
        <v>5656</v>
      </c>
      <c r="Y294" s="5" t="s">
        <v>5657</v>
      </c>
      <c r="Z294" s="5" t="s">
        <v>5658</v>
      </c>
      <c r="AA294" s="5" t="s">
        <v>5659</v>
      </c>
      <c r="AB294" s="5" t="s">
        <v>5660</v>
      </c>
      <c r="AC294" s="5" t="s">
        <v>5661</v>
      </c>
      <c r="AD294" s="5" t="s">
        <v>5662</v>
      </c>
      <c r="AE294" s="5" t="s">
        <v>5663</v>
      </c>
      <c r="AF294" s="5">
        <v>80</v>
      </c>
      <c r="AG294" s="5">
        <v>2</v>
      </c>
      <c r="AH294" s="5">
        <v>2</v>
      </c>
      <c r="AI294" s="5">
        <v>20</v>
      </c>
      <c r="AJ294" s="5">
        <v>20</v>
      </c>
      <c r="AK294" s="5" t="s">
        <v>1319</v>
      </c>
      <c r="AL294" s="5" t="s">
        <v>1320</v>
      </c>
      <c r="AM294" s="5" t="s">
        <v>4420</v>
      </c>
      <c r="AN294" s="5" t="s">
        <v>4421</v>
      </c>
      <c r="AO294" s="5" t="s">
        <v>21</v>
      </c>
      <c r="AP294" s="5" t="s">
        <v>21</v>
      </c>
      <c r="AQ294" s="5" t="s">
        <v>4422</v>
      </c>
      <c r="AR294" s="5" t="s">
        <v>4423</v>
      </c>
      <c r="AS294" s="5" t="s">
        <v>5664</v>
      </c>
      <c r="AT294" s="5">
        <v>2025</v>
      </c>
      <c r="AU294" s="5">
        <v>27</v>
      </c>
      <c r="AV294" s="5" t="s">
        <v>21</v>
      </c>
      <c r="AW294" s="5" t="s">
        <v>21</v>
      </c>
      <c r="AX294" s="5" t="s">
        <v>21</v>
      </c>
      <c r="AY294" s="5" t="s">
        <v>21</v>
      </c>
      <c r="AZ294" s="5" t="s">
        <v>21</v>
      </c>
      <c r="BA294" s="5" t="s">
        <v>21</v>
      </c>
      <c r="BB294" s="5" t="s">
        <v>21</v>
      </c>
      <c r="BC294" s="5">
        <v>60845</v>
      </c>
      <c r="BD294" s="5" t="s">
        <v>5665</v>
      </c>
      <c r="BE294" s="5" t="str">
        <f>HYPERLINK("http://dx.doi.org/10.2196/60845","http://dx.doi.org/10.2196/60845")</f>
        <v>http://dx.doi.org/10.2196/60845</v>
      </c>
      <c r="BF294" s="5" t="s">
        <v>21</v>
      </c>
      <c r="BG294" s="5" t="s">
        <v>21</v>
      </c>
      <c r="BH294" s="5">
        <v>17</v>
      </c>
      <c r="BI294" s="5" t="s">
        <v>4427</v>
      </c>
      <c r="BJ294" s="5" t="s">
        <v>524</v>
      </c>
      <c r="BK294" s="5" t="s">
        <v>4427</v>
      </c>
      <c r="BL294" s="5" t="s">
        <v>5666</v>
      </c>
      <c r="BM294" s="5">
        <v>39907288</v>
      </c>
      <c r="BN294" s="5" t="s">
        <v>1909</v>
      </c>
      <c r="BO294" s="5" t="s">
        <v>21</v>
      </c>
      <c r="BP294" s="5" t="s">
        <v>21</v>
      </c>
      <c r="BQ294" s="5" t="s">
        <v>49</v>
      </c>
      <c r="BR294" s="5" t="s">
        <v>5667</v>
      </c>
      <c r="BS294" s="5" t="str">
        <f>HYPERLINK("https%3A%2F%2Fwww.webofscience.com%2Fwos%2Fwoscc%2Ffull-record%2FWOS:001424878900002","View Full Record in Web of Science")</f>
        <v>View Full Record in Web of Science</v>
      </c>
    </row>
    <row r="295" spans="1:71" x14ac:dyDescent="0.25">
      <c r="A295" t="s">
        <v>19</v>
      </c>
      <c r="B295" s="5" t="s">
        <v>5668</v>
      </c>
      <c r="C295" s="5" t="s">
        <v>21</v>
      </c>
      <c r="D295" s="5" t="s">
        <v>21</v>
      </c>
      <c r="E295" s="5" t="s">
        <v>21</v>
      </c>
      <c r="F295" s="5" t="s">
        <v>5669</v>
      </c>
      <c r="G295" s="5" t="s">
        <v>21</v>
      </c>
      <c r="H295" s="5" t="s">
        <v>21</v>
      </c>
      <c r="I295" s="5" t="s">
        <v>5670</v>
      </c>
      <c r="J295" s="12" t="s">
        <v>1587</v>
      </c>
      <c r="K295" s="5" t="s">
        <v>21</v>
      </c>
      <c r="L295" s="5" t="s">
        <v>21</v>
      </c>
      <c r="M295" s="5" t="s">
        <v>25</v>
      </c>
      <c r="N295" s="5" t="s">
        <v>26</v>
      </c>
      <c r="O295" s="5" t="s">
        <v>21</v>
      </c>
      <c r="P295" s="5" t="s">
        <v>21</v>
      </c>
      <c r="Q295" s="5" t="s">
        <v>21</v>
      </c>
      <c r="R295" s="5" t="s">
        <v>21</v>
      </c>
      <c r="S295" s="5" t="s">
        <v>21</v>
      </c>
      <c r="T295" s="5" t="s">
        <v>5671</v>
      </c>
      <c r="U295" s="5" t="s">
        <v>5672</v>
      </c>
      <c r="V295" s="5" t="s">
        <v>5673</v>
      </c>
      <c r="W295" s="5" t="s">
        <v>5674</v>
      </c>
      <c r="X295" s="5" t="s">
        <v>5675</v>
      </c>
      <c r="Y295" s="5" t="s">
        <v>5676</v>
      </c>
      <c r="Z295" s="5" t="s">
        <v>5677</v>
      </c>
      <c r="AA295" s="5" t="s">
        <v>21</v>
      </c>
      <c r="AB295" s="5" t="s">
        <v>5678</v>
      </c>
      <c r="AC295" s="5" t="s">
        <v>5679</v>
      </c>
      <c r="AD295" s="5" t="s">
        <v>5680</v>
      </c>
      <c r="AE295" s="5" t="s">
        <v>5681</v>
      </c>
      <c r="AF295" s="5">
        <v>49</v>
      </c>
      <c r="AG295" s="5">
        <v>2</v>
      </c>
      <c r="AH295" s="5">
        <v>2</v>
      </c>
      <c r="AI295" s="5">
        <v>13</v>
      </c>
      <c r="AJ295" s="5">
        <v>13</v>
      </c>
      <c r="AK295" s="5" t="s">
        <v>193</v>
      </c>
      <c r="AL295" s="5" t="s">
        <v>194</v>
      </c>
      <c r="AM295" s="5" t="s">
        <v>195</v>
      </c>
      <c r="AN295" s="5" t="s">
        <v>21</v>
      </c>
      <c r="AO295" s="5" t="s">
        <v>1599</v>
      </c>
      <c r="AP295" s="5" t="s">
        <v>21</v>
      </c>
      <c r="AQ295" s="5" t="s">
        <v>1600</v>
      </c>
      <c r="AR295" s="5" t="s">
        <v>1601</v>
      </c>
      <c r="AS295" s="5" t="s">
        <v>134</v>
      </c>
      <c r="AT295" s="5">
        <v>2024</v>
      </c>
      <c r="AU295" s="5">
        <v>13</v>
      </c>
      <c r="AV295" s="5">
        <v>20</v>
      </c>
      <c r="AW295" s="5" t="s">
        <v>21</v>
      </c>
      <c r="AX295" s="5" t="s">
        <v>21</v>
      </c>
      <c r="AY295" s="5" t="s">
        <v>21</v>
      </c>
      <c r="AZ295" s="5" t="s">
        <v>21</v>
      </c>
      <c r="BA295" s="5" t="s">
        <v>21</v>
      </c>
      <c r="BB295" s="5" t="s">
        <v>21</v>
      </c>
      <c r="BC295" s="5">
        <v>6093</v>
      </c>
      <c r="BD295" s="5" t="s">
        <v>5682</v>
      </c>
      <c r="BE295" s="5" t="str">
        <f>HYPERLINK("http://dx.doi.org/10.3390/jcm13206093","http://dx.doi.org/10.3390/jcm13206093")</f>
        <v>http://dx.doi.org/10.3390/jcm13206093</v>
      </c>
      <c r="BF295" s="5" t="s">
        <v>21</v>
      </c>
      <c r="BG295" s="5" t="s">
        <v>21</v>
      </c>
      <c r="BH295" s="5">
        <v>14</v>
      </c>
      <c r="BI295" s="5" t="s">
        <v>1603</v>
      </c>
      <c r="BJ295" s="5" t="s">
        <v>524</v>
      </c>
      <c r="BK295" s="5" t="s">
        <v>1604</v>
      </c>
      <c r="BL295" s="5" t="s">
        <v>5683</v>
      </c>
      <c r="BM295" s="5">
        <v>39458041</v>
      </c>
      <c r="BN295" s="5" t="s">
        <v>1909</v>
      </c>
      <c r="BO295" s="5" t="s">
        <v>21</v>
      </c>
      <c r="BP295" s="5" t="s">
        <v>21</v>
      </c>
      <c r="BQ295" s="5" t="s">
        <v>49</v>
      </c>
      <c r="BR295" s="5" t="s">
        <v>5684</v>
      </c>
      <c r="BS295" s="5" t="str">
        <f>HYPERLINK("https%3A%2F%2Fwww.webofscience.com%2Fwos%2Fwoscc%2Ffull-record%2FWOS:001342271900001","View Full Record in Web of Science")</f>
        <v>View Full Record in Web of Science</v>
      </c>
    </row>
    <row r="296" spans="1:71" x14ac:dyDescent="0.25">
      <c r="A296" t="s">
        <v>19</v>
      </c>
      <c r="B296" s="5" t="s">
        <v>5685</v>
      </c>
      <c r="C296" s="5" t="s">
        <v>21</v>
      </c>
      <c r="D296" s="5" t="s">
        <v>21</v>
      </c>
      <c r="E296" s="5" t="s">
        <v>21</v>
      </c>
      <c r="F296" s="5" t="s">
        <v>5686</v>
      </c>
      <c r="G296" s="5" t="s">
        <v>21</v>
      </c>
      <c r="H296" s="5" t="s">
        <v>21</v>
      </c>
      <c r="I296" s="5" t="s">
        <v>5687</v>
      </c>
      <c r="J296" s="12" t="s">
        <v>5688</v>
      </c>
      <c r="K296" s="5" t="s">
        <v>21</v>
      </c>
      <c r="L296" s="5" t="s">
        <v>21</v>
      </c>
      <c r="M296" s="5" t="s">
        <v>25</v>
      </c>
      <c r="N296" s="5" t="s">
        <v>5105</v>
      </c>
      <c r="O296" s="5" t="s">
        <v>21</v>
      </c>
      <c r="P296" s="5" t="s">
        <v>21</v>
      </c>
      <c r="Q296" s="5" t="s">
        <v>21</v>
      </c>
      <c r="R296" s="5" t="s">
        <v>21</v>
      </c>
      <c r="S296" s="5" t="s">
        <v>21</v>
      </c>
      <c r="T296" s="5" t="s">
        <v>5689</v>
      </c>
      <c r="U296" s="5" t="s">
        <v>5690</v>
      </c>
      <c r="V296" s="5" t="s">
        <v>5691</v>
      </c>
      <c r="W296" s="5" t="s">
        <v>5692</v>
      </c>
      <c r="X296" s="5" t="s">
        <v>5693</v>
      </c>
      <c r="Y296" s="5" t="s">
        <v>5694</v>
      </c>
      <c r="Z296" s="5" t="s">
        <v>5695</v>
      </c>
      <c r="AA296" s="5" t="s">
        <v>5696</v>
      </c>
      <c r="AB296" s="5" t="s">
        <v>21</v>
      </c>
      <c r="AC296" s="5" t="s">
        <v>5697</v>
      </c>
      <c r="AD296" s="5" t="s">
        <v>5698</v>
      </c>
      <c r="AE296" s="5" t="s">
        <v>5699</v>
      </c>
      <c r="AF296" s="5">
        <v>81</v>
      </c>
      <c r="AG296" s="5">
        <v>2</v>
      </c>
      <c r="AH296" s="5">
        <v>2</v>
      </c>
      <c r="AI296" s="5">
        <v>8</v>
      </c>
      <c r="AJ296" s="5">
        <v>20</v>
      </c>
      <c r="AK296" s="5" t="s">
        <v>2706</v>
      </c>
      <c r="AL296" s="5" t="s">
        <v>494</v>
      </c>
      <c r="AM296" s="5" t="s">
        <v>2707</v>
      </c>
      <c r="AN296" s="5" t="s">
        <v>5700</v>
      </c>
      <c r="AO296" s="5" t="s">
        <v>5701</v>
      </c>
      <c r="AP296" s="5" t="s">
        <v>21</v>
      </c>
      <c r="AQ296" s="5" t="s">
        <v>5702</v>
      </c>
      <c r="AR296" s="5" t="s">
        <v>5703</v>
      </c>
      <c r="AS296" s="5" t="s">
        <v>5704</v>
      </c>
      <c r="AT296" s="5">
        <v>2024</v>
      </c>
      <c r="AU296" s="5" t="s">
        <v>21</v>
      </c>
      <c r="AV296" s="5" t="s">
        <v>21</v>
      </c>
      <c r="AW296" s="5" t="s">
        <v>21</v>
      </c>
      <c r="AX296" s="5" t="s">
        <v>21</v>
      </c>
      <c r="AY296" s="5" t="s">
        <v>21</v>
      </c>
      <c r="AZ296" s="5" t="s">
        <v>21</v>
      </c>
      <c r="BA296" s="5" t="s">
        <v>21</v>
      </c>
      <c r="BB296" s="5" t="s">
        <v>21</v>
      </c>
      <c r="BC296" s="5" t="s">
        <v>21</v>
      </c>
      <c r="BD296" s="5" t="s">
        <v>5705</v>
      </c>
      <c r="BE296" s="5" t="str">
        <f>HYPERLINK("http://dx.doi.org/10.1080/09638288.2024.2398148","http://dx.doi.org/10.1080/09638288.2024.2398148")</f>
        <v>http://dx.doi.org/10.1080/09638288.2024.2398148</v>
      </c>
      <c r="BF296" s="5" t="s">
        <v>21</v>
      </c>
      <c r="BG296" s="5" t="s">
        <v>4257</v>
      </c>
      <c r="BH296" s="5">
        <v>16</v>
      </c>
      <c r="BI296" s="5" t="s">
        <v>2990</v>
      </c>
      <c r="BJ296" s="5" t="s">
        <v>92</v>
      </c>
      <c r="BK296" s="5" t="s">
        <v>2990</v>
      </c>
      <c r="BL296" s="5" t="s">
        <v>5706</v>
      </c>
      <c r="BM296" s="5">
        <v>39229783</v>
      </c>
      <c r="BN296" s="5" t="s">
        <v>21</v>
      </c>
      <c r="BO296" s="5" t="s">
        <v>21</v>
      </c>
      <c r="BP296" s="5" t="s">
        <v>21</v>
      </c>
      <c r="BQ296" s="5" t="s">
        <v>49</v>
      </c>
      <c r="BR296" s="5" t="s">
        <v>5707</v>
      </c>
      <c r="BS296" s="5" t="str">
        <f>HYPERLINK("https%3A%2F%2Fwww.webofscience.com%2Fwos%2Fwoscc%2Ffull-record%2FWOS:001304336500001","View Full Record in Web of Science")</f>
        <v>View Full Record in Web of Science</v>
      </c>
    </row>
    <row r="297" spans="1:71" x14ac:dyDescent="0.25">
      <c r="A297" t="s">
        <v>19</v>
      </c>
      <c r="B297" s="5" t="s">
        <v>5708</v>
      </c>
      <c r="C297" s="5" t="s">
        <v>21</v>
      </c>
      <c r="D297" s="5" t="s">
        <v>21</v>
      </c>
      <c r="E297" s="5" t="s">
        <v>21</v>
      </c>
      <c r="F297" s="5" t="s">
        <v>5709</v>
      </c>
      <c r="G297" s="5" t="s">
        <v>21</v>
      </c>
      <c r="H297" s="5" t="s">
        <v>21</v>
      </c>
      <c r="I297" s="5" t="s">
        <v>5710</v>
      </c>
      <c r="J297" s="12" t="s">
        <v>894</v>
      </c>
      <c r="K297" s="5" t="s">
        <v>21</v>
      </c>
      <c r="L297" s="5" t="s">
        <v>21</v>
      </c>
      <c r="M297" s="5" t="s">
        <v>25</v>
      </c>
      <c r="N297" s="5" t="s">
        <v>26</v>
      </c>
      <c r="O297" s="5" t="s">
        <v>21</v>
      </c>
      <c r="P297" s="5" t="s">
        <v>21</v>
      </c>
      <c r="Q297" s="5" t="s">
        <v>21</v>
      </c>
      <c r="R297" s="5" t="s">
        <v>21</v>
      </c>
      <c r="S297" s="5" t="s">
        <v>21</v>
      </c>
      <c r="T297" s="5" t="s">
        <v>5711</v>
      </c>
      <c r="U297" s="5" t="s">
        <v>5712</v>
      </c>
      <c r="V297" s="5" t="s">
        <v>5713</v>
      </c>
      <c r="W297" s="5" t="s">
        <v>5714</v>
      </c>
      <c r="X297" s="5" t="s">
        <v>5715</v>
      </c>
      <c r="Y297" s="5" t="s">
        <v>5716</v>
      </c>
      <c r="Z297" s="5" t="s">
        <v>5717</v>
      </c>
      <c r="AA297" s="5" t="s">
        <v>21</v>
      </c>
      <c r="AB297" s="5" t="s">
        <v>21</v>
      </c>
      <c r="AC297" s="5" t="s">
        <v>21</v>
      </c>
      <c r="AD297" s="5" t="s">
        <v>21</v>
      </c>
      <c r="AE297" s="5" t="s">
        <v>21</v>
      </c>
      <c r="AF297" s="5">
        <v>92</v>
      </c>
      <c r="AG297" s="5">
        <v>2</v>
      </c>
      <c r="AH297" s="5">
        <v>2</v>
      </c>
      <c r="AI297" s="5">
        <v>28</v>
      </c>
      <c r="AJ297" s="5">
        <v>34</v>
      </c>
      <c r="AK297" s="5" t="s">
        <v>904</v>
      </c>
      <c r="AL297" s="5" t="s">
        <v>36</v>
      </c>
      <c r="AM297" s="5" t="s">
        <v>905</v>
      </c>
      <c r="AN297" s="5" t="s">
        <v>906</v>
      </c>
      <c r="AO297" s="5" t="s">
        <v>907</v>
      </c>
      <c r="AP297" s="5" t="s">
        <v>21</v>
      </c>
      <c r="AQ297" s="5" t="s">
        <v>908</v>
      </c>
      <c r="AR297" s="5" t="s">
        <v>909</v>
      </c>
      <c r="AS297" s="5" t="s">
        <v>334</v>
      </c>
      <c r="AT297" s="5">
        <v>2025</v>
      </c>
      <c r="AU297" s="5">
        <v>30</v>
      </c>
      <c r="AV297" s="5">
        <v>3</v>
      </c>
      <c r="AW297" s="5" t="s">
        <v>21</v>
      </c>
      <c r="AX297" s="5" t="s">
        <v>21</v>
      </c>
      <c r="AY297" s="5" t="s">
        <v>21</v>
      </c>
      <c r="AZ297" s="5" t="s">
        <v>21</v>
      </c>
      <c r="BA297" s="5">
        <v>3145</v>
      </c>
      <c r="BB297" s="5">
        <v>3182</v>
      </c>
      <c r="BC297" s="5" t="s">
        <v>21</v>
      </c>
      <c r="BD297" s="5" t="s">
        <v>5718</v>
      </c>
      <c r="BE297" s="5" t="str">
        <f>HYPERLINK("http://dx.doi.org/10.1007/s10639-024-12844-3","http://dx.doi.org/10.1007/s10639-024-12844-3")</f>
        <v>http://dx.doi.org/10.1007/s10639-024-12844-3</v>
      </c>
      <c r="BF297" s="5" t="s">
        <v>21</v>
      </c>
      <c r="BG297" s="5" t="s">
        <v>5285</v>
      </c>
      <c r="BH297" s="5">
        <v>38</v>
      </c>
      <c r="BI297" s="5" t="s">
        <v>503</v>
      </c>
      <c r="BJ297" s="5" t="s">
        <v>45</v>
      </c>
      <c r="BK297" s="5" t="s">
        <v>503</v>
      </c>
      <c r="BL297" s="5" t="s">
        <v>5719</v>
      </c>
      <c r="BM297" s="5" t="s">
        <v>21</v>
      </c>
      <c r="BN297" s="5" t="s">
        <v>21</v>
      </c>
      <c r="BO297" s="5" t="s">
        <v>21</v>
      </c>
      <c r="BP297" s="5" t="s">
        <v>21</v>
      </c>
      <c r="BQ297" s="5" t="s">
        <v>49</v>
      </c>
      <c r="BR297" s="5" t="s">
        <v>5720</v>
      </c>
      <c r="BS297" s="5" t="str">
        <f>HYPERLINK("https%3A%2F%2Fwww.webofscience.com%2Fwos%2Fwoscc%2Ffull-record%2FWOS:001287482600001","View Full Record in Web of Science")</f>
        <v>View Full Record in Web of Science</v>
      </c>
    </row>
    <row r="298" spans="1:71" x14ac:dyDescent="0.25">
      <c r="A298" t="s">
        <v>19</v>
      </c>
      <c r="B298" s="5" t="s">
        <v>5721</v>
      </c>
      <c r="C298" s="5" t="s">
        <v>21</v>
      </c>
      <c r="D298" s="5" t="s">
        <v>21</v>
      </c>
      <c r="E298" s="5" t="s">
        <v>21</v>
      </c>
      <c r="F298" s="5" t="s">
        <v>5722</v>
      </c>
      <c r="G298" s="5" t="s">
        <v>21</v>
      </c>
      <c r="H298" s="5" t="s">
        <v>21</v>
      </c>
      <c r="I298" s="5" t="s">
        <v>5723</v>
      </c>
      <c r="J298" s="12" t="s">
        <v>5724</v>
      </c>
      <c r="K298" s="5" t="s">
        <v>21</v>
      </c>
      <c r="L298" s="5" t="s">
        <v>21</v>
      </c>
      <c r="M298" s="5" t="s">
        <v>25</v>
      </c>
      <c r="N298" s="5" t="s">
        <v>26</v>
      </c>
      <c r="O298" s="5" t="s">
        <v>21</v>
      </c>
      <c r="P298" s="5" t="s">
        <v>21</v>
      </c>
      <c r="Q298" s="5" t="s">
        <v>21</v>
      </c>
      <c r="R298" s="5" t="s">
        <v>21</v>
      </c>
      <c r="S298" s="5" t="s">
        <v>21</v>
      </c>
      <c r="T298" s="5" t="s">
        <v>5725</v>
      </c>
      <c r="U298" s="5" t="s">
        <v>5726</v>
      </c>
      <c r="V298" s="5" t="s">
        <v>5727</v>
      </c>
      <c r="W298" s="5" t="s">
        <v>5728</v>
      </c>
      <c r="X298" s="5" t="s">
        <v>21</v>
      </c>
      <c r="Y298" s="5" t="s">
        <v>5729</v>
      </c>
      <c r="Z298" s="5" t="s">
        <v>5730</v>
      </c>
      <c r="AA298" s="5" t="s">
        <v>21</v>
      </c>
      <c r="AB298" s="5" t="s">
        <v>21</v>
      </c>
      <c r="AC298" s="5" t="s">
        <v>21</v>
      </c>
      <c r="AD298" s="5" t="s">
        <v>21</v>
      </c>
      <c r="AE298" s="5" t="s">
        <v>21</v>
      </c>
      <c r="AF298" s="5">
        <v>26</v>
      </c>
      <c r="AG298" s="5">
        <v>2</v>
      </c>
      <c r="AH298" s="5">
        <v>2</v>
      </c>
      <c r="AI298" s="5">
        <v>13</v>
      </c>
      <c r="AJ298" s="5">
        <v>18</v>
      </c>
      <c r="AK298" s="5" t="s">
        <v>904</v>
      </c>
      <c r="AL298" s="5" t="s">
        <v>36</v>
      </c>
      <c r="AM298" s="5" t="s">
        <v>905</v>
      </c>
      <c r="AN298" s="5" t="s">
        <v>5731</v>
      </c>
      <c r="AO298" s="5" t="s">
        <v>5732</v>
      </c>
      <c r="AP298" s="5" t="s">
        <v>21</v>
      </c>
      <c r="AQ298" s="5" t="s">
        <v>5733</v>
      </c>
      <c r="AR298" s="5" t="s">
        <v>5734</v>
      </c>
      <c r="AS298" s="5" t="s">
        <v>176</v>
      </c>
      <c r="AT298" s="5">
        <v>2025</v>
      </c>
      <c r="AU298" s="5">
        <v>18</v>
      </c>
      <c r="AV298" s="5">
        <v>1</v>
      </c>
      <c r="AW298" s="5" t="s">
        <v>21</v>
      </c>
      <c r="AX298" s="5" t="s">
        <v>21</v>
      </c>
      <c r="AY298" s="5" t="s">
        <v>21</v>
      </c>
      <c r="AZ298" s="5" t="s">
        <v>21</v>
      </c>
      <c r="BA298" s="5">
        <v>179</v>
      </c>
      <c r="BB298" s="5">
        <v>195</v>
      </c>
      <c r="BC298" s="5" t="s">
        <v>21</v>
      </c>
      <c r="BD298" s="5" t="s">
        <v>5735</v>
      </c>
      <c r="BE298" s="5" t="str">
        <f>HYPERLINK("http://dx.doi.org/10.1007/s40617-024-00968-4","http://dx.doi.org/10.1007/s40617-024-00968-4")</f>
        <v>http://dx.doi.org/10.1007/s40617-024-00968-4</v>
      </c>
      <c r="BF298" s="5" t="s">
        <v>21</v>
      </c>
      <c r="BG298" s="5" t="s">
        <v>5736</v>
      </c>
      <c r="BH298" s="5">
        <v>17</v>
      </c>
      <c r="BI298" s="5" t="s">
        <v>992</v>
      </c>
      <c r="BJ298" s="5" t="s">
        <v>1907</v>
      </c>
      <c r="BK298" s="5" t="s">
        <v>46</v>
      </c>
      <c r="BL298" s="5" t="s">
        <v>5737</v>
      </c>
      <c r="BM298" s="5">
        <v>40092325</v>
      </c>
      <c r="BN298" s="5" t="s">
        <v>21</v>
      </c>
      <c r="BO298" s="5" t="s">
        <v>21</v>
      </c>
      <c r="BP298" s="5" t="s">
        <v>21</v>
      </c>
      <c r="BQ298" s="5" t="s">
        <v>49</v>
      </c>
      <c r="BR298" s="5" t="s">
        <v>5738</v>
      </c>
      <c r="BS298" s="5" t="str">
        <f>HYPERLINK("https%3A%2F%2Fwww.webofscience.com%2Fwos%2Fwoscc%2Ffull-record%2FWOS:001275433400001","View Full Record in Web of Science")</f>
        <v>View Full Record in Web of Science</v>
      </c>
    </row>
    <row r="299" spans="1:71" x14ac:dyDescent="0.25">
      <c r="A299" t="s">
        <v>19</v>
      </c>
      <c r="B299" s="5" t="s">
        <v>5739</v>
      </c>
      <c r="C299" s="5" t="s">
        <v>21</v>
      </c>
      <c r="D299" s="5" t="s">
        <v>21</v>
      </c>
      <c r="E299" s="5" t="s">
        <v>21</v>
      </c>
      <c r="F299" s="5" t="s">
        <v>5740</v>
      </c>
      <c r="G299" s="5" t="s">
        <v>21</v>
      </c>
      <c r="H299" s="5" t="s">
        <v>21</v>
      </c>
      <c r="I299" s="5" t="s">
        <v>5741</v>
      </c>
      <c r="J299" s="12" t="s">
        <v>1443</v>
      </c>
      <c r="K299" s="5" t="s">
        <v>21</v>
      </c>
      <c r="L299" s="5" t="s">
        <v>21</v>
      </c>
      <c r="M299" s="5" t="s">
        <v>25</v>
      </c>
      <c r="N299" s="5" t="s">
        <v>26</v>
      </c>
      <c r="O299" s="5" t="s">
        <v>21</v>
      </c>
      <c r="P299" s="5" t="s">
        <v>21</v>
      </c>
      <c r="Q299" s="5" t="s">
        <v>21</v>
      </c>
      <c r="R299" s="5" t="s">
        <v>21</v>
      </c>
      <c r="S299" s="5" t="s">
        <v>21</v>
      </c>
      <c r="T299" s="5" t="s">
        <v>5742</v>
      </c>
      <c r="U299" s="5" t="s">
        <v>5743</v>
      </c>
      <c r="V299" s="5" t="s">
        <v>5744</v>
      </c>
      <c r="W299" s="5" t="s">
        <v>5745</v>
      </c>
      <c r="X299" s="5" t="s">
        <v>5746</v>
      </c>
      <c r="Y299" s="5" t="s">
        <v>5747</v>
      </c>
      <c r="Z299" s="5" t="s">
        <v>5748</v>
      </c>
      <c r="AA299" s="5" t="s">
        <v>5749</v>
      </c>
      <c r="AB299" s="5" t="s">
        <v>5750</v>
      </c>
      <c r="AC299" s="5" t="s">
        <v>4288</v>
      </c>
      <c r="AD299" s="5" t="s">
        <v>4289</v>
      </c>
      <c r="AE299" s="5" t="s">
        <v>5751</v>
      </c>
      <c r="AF299" s="5">
        <v>101</v>
      </c>
      <c r="AG299" s="5">
        <v>2</v>
      </c>
      <c r="AH299" s="5">
        <v>2</v>
      </c>
      <c r="AI299" s="5">
        <v>16</v>
      </c>
      <c r="AJ299" s="5">
        <v>20</v>
      </c>
      <c r="AK299" s="5" t="s">
        <v>493</v>
      </c>
      <c r="AL299" s="5" t="s">
        <v>494</v>
      </c>
      <c r="AM299" s="5" t="s">
        <v>495</v>
      </c>
      <c r="AN299" s="5" t="s">
        <v>1453</v>
      </c>
      <c r="AO299" s="5" t="s">
        <v>1454</v>
      </c>
      <c r="AP299" s="5" t="s">
        <v>21</v>
      </c>
      <c r="AQ299" s="5" t="s">
        <v>1455</v>
      </c>
      <c r="AR299" s="5" t="s">
        <v>1456</v>
      </c>
      <c r="AS299" s="5" t="s">
        <v>5752</v>
      </c>
      <c r="AT299" s="5">
        <v>2025</v>
      </c>
      <c r="AU299" s="5">
        <v>33</v>
      </c>
      <c r="AV299" s="5">
        <v>2</v>
      </c>
      <c r="AW299" s="5" t="s">
        <v>21</v>
      </c>
      <c r="AX299" s="5" t="s">
        <v>21</v>
      </c>
      <c r="AY299" s="5" t="s">
        <v>21</v>
      </c>
      <c r="AZ299" s="5" t="s">
        <v>21</v>
      </c>
      <c r="BA299" s="5">
        <v>1118</v>
      </c>
      <c r="BB299" s="5">
        <v>1140</v>
      </c>
      <c r="BC299" s="5" t="s">
        <v>21</v>
      </c>
      <c r="BD299" s="5" t="s">
        <v>5753</v>
      </c>
      <c r="BE299" s="5" t="str">
        <f>HYPERLINK("http://dx.doi.org/10.1080/10494820.2024.2364250","http://dx.doi.org/10.1080/10494820.2024.2364250")</f>
        <v>http://dx.doi.org/10.1080/10494820.2024.2364250</v>
      </c>
      <c r="BF299" s="5" t="s">
        <v>21</v>
      </c>
      <c r="BG299" s="5" t="s">
        <v>4273</v>
      </c>
      <c r="BH299" s="5">
        <v>23</v>
      </c>
      <c r="BI299" s="5" t="s">
        <v>503</v>
      </c>
      <c r="BJ299" s="5" t="s">
        <v>45</v>
      </c>
      <c r="BK299" s="5" t="s">
        <v>503</v>
      </c>
      <c r="BL299" s="5" t="s">
        <v>5754</v>
      </c>
      <c r="BM299" s="5" t="s">
        <v>21</v>
      </c>
      <c r="BN299" s="5" t="s">
        <v>120</v>
      </c>
      <c r="BO299" s="5" t="s">
        <v>21</v>
      </c>
      <c r="BP299" s="5" t="s">
        <v>21</v>
      </c>
      <c r="BQ299" s="5" t="s">
        <v>49</v>
      </c>
      <c r="BR299" s="5" t="s">
        <v>5755</v>
      </c>
      <c r="BS299" s="5" t="str">
        <f>HYPERLINK("https%3A%2F%2Fwww.webofscience.com%2Fwos%2Fwoscc%2Ffull-record%2FWOS:001259245200001","View Full Record in Web of Science")</f>
        <v>View Full Record in Web of Science</v>
      </c>
    </row>
    <row r="300" spans="1:71" x14ac:dyDescent="0.25">
      <c r="A300" t="s">
        <v>19</v>
      </c>
      <c r="B300" s="5" t="s">
        <v>5756</v>
      </c>
      <c r="C300" s="5" t="s">
        <v>21</v>
      </c>
      <c r="D300" s="5" t="s">
        <v>21</v>
      </c>
      <c r="E300" s="5" t="s">
        <v>21</v>
      </c>
      <c r="F300" s="5" t="s">
        <v>5757</v>
      </c>
      <c r="G300" s="5" t="s">
        <v>21</v>
      </c>
      <c r="H300" s="5" t="s">
        <v>21</v>
      </c>
      <c r="I300" s="5" t="s">
        <v>5758</v>
      </c>
      <c r="J300" s="12" t="s">
        <v>5759</v>
      </c>
      <c r="K300" s="5" t="s">
        <v>21</v>
      </c>
      <c r="L300" s="5" t="s">
        <v>21</v>
      </c>
      <c r="M300" s="5" t="s">
        <v>25</v>
      </c>
      <c r="N300" s="5" t="s">
        <v>26</v>
      </c>
      <c r="O300" s="5" t="s">
        <v>21</v>
      </c>
      <c r="P300" s="5" t="s">
        <v>21</v>
      </c>
      <c r="Q300" s="5" t="s">
        <v>21</v>
      </c>
      <c r="R300" s="5" t="s">
        <v>21</v>
      </c>
      <c r="S300" s="5" t="s">
        <v>21</v>
      </c>
      <c r="T300" s="5" t="s">
        <v>5760</v>
      </c>
      <c r="U300" s="5" t="s">
        <v>5761</v>
      </c>
      <c r="V300" s="5" t="s">
        <v>5762</v>
      </c>
      <c r="W300" s="5" t="s">
        <v>5763</v>
      </c>
      <c r="X300" s="5" t="s">
        <v>5764</v>
      </c>
      <c r="Y300" s="5" t="s">
        <v>5765</v>
      </c>
      <c r="Z300" s="5" t="s">
        <v>5766</v>
      </c>
      <c r="AA300" s="5" t="s">
        <v>5767</v>
      </c>
      <c r="AB300" s="5" t="s">
        <v>5768</v>
      </c>
      <c r="AC300" s="5" t="s">
        <v>5769</v>
      </c>
      <c r="AD300" s="5" t="s">
        <v>5770</v>
      </c>
      <c r="AE300" s="5" t="s">
        <v>5771</v>
      </c>
      <c r="AF300" s="5">
        <v>63</v>
      </c>
      <c r="AG300" s="5">
        <v>2</v>
      </c>
      <c r="AH300" s="5">
        <v>2</v>
      </c>
      <c r="AI300" s="5">
        <v>2</v>
      </c>
      <c r="AJ300" s="5">
        <v>7</v>
      </c>
      <c r="AK300" s="5" t="s">
        <v>1133</v>
      </c>
      <c r="AL300" s="5" t="s">
        <v>1134</v>
      </c>
      <c r="AM300" s="5" t="s">
        <v>1135</v>
      </c>
      <c r="AN300" s="5" t="s">
        <v>5772</v>
      </c>
      <c r="AO300" s="5" t="s">
        <v>5773</v>
      </c>
      <c r="AP300" s="5" t="s">
        <v>21</v>
      </c>
      <c r="AQ300" s="5" t="s">
        <v>5774</v>
      </c>
      <c r="AR300" s="5" t="s">
        <v>5775</v>
      </c>
      <c r="AS300" s="5" t="s">
        <v>89</v>
      </c>
      <c r="AT300" s="5">
        <v>2024</v>
      </c>
      <c r="AU300" s="5">
        <v>170</v>
      </c>
      <c r="AV300" s="5" t="s">
        <v>21</v>
      </c>
      <c r="AW300" s="5" t="s">
        <v>21</v>
      </c>
      <c r="AX300" s="5" t="s">
        <v>21</v>
      </c>
      <c r="AY300" s="5" t="s">
        <v>21</v>
      </c>
      <c r="AZ300" s="5" t="s">
        <v>21</v>
      </c>
      <c r="BA300" s="5" t="s">
        <v>21</v>
      </c>
      <c r="BB300" s="5" t="s">
        <v>21</v>
      </c>
      <c r="BC300" s="5">
        <v>107434</v>
      </c>
      <c r="BD300" s="5" t="s">
        <v>5776</v>
      </c>
      <c r="BE300" s="5" t="str">
        <f>HYPERLINK("http://dx.doi.org/10.1016/j.infsof.2024.107434","http://dx.doi.org/10.1016/j.infsof.2024.107434")</f>
        <v>http://dx.doi.org/10.1016/j.infsof.2024.107434</v>
      </c>
      <c r="BF300" s="5" t="s">
        <v>21</v>
      </c>
      <c r="BG300" s="5" t="s">
        <v>4583</v>
      </c>
      <c r="BH300" s="5">
        <v>18</v>
      </c>
      <c r="BI300" s="5" t="s">
        <v>5777</v>
      </c>
      <c r="BJ300" s="5" t="s">
        <v>524</v>
      </c>
      <c r="BK300" s="5" t="s">
        <v>715</v>
      </c>
      <c r="BL300" s="5" t="s">
        <v>5778</v>
      </c>
      <c r="BM300" s="5" t="s">
        <v>21</v>
      </c>
      <c r="BN300" s="5" t="s">
        <v>2205</v>
      </c>
      <c r="BO300" s="5" t="s">
        <v>21</v>
      </c>
      <c r="BP300" s="5" t="s">
        <v>21</v>
      </c>
      <c r="BQ300" s="5" t="s">
        <v>49</v>
      </c>
      <c r="BR300" s="5" t="s">
        <v>5779</v>
      </c>
      <c r="BS300" s="5" t="str">
        <f>HYPERLINK("https%3A%2F%2Fwww.webofscience.com%2Fwos%2Fwoscc%2Ffull-record%2FWOS:001218052200001","View Full Record in Web of Science")</f>
        <v>View Full Record in Web of Science</v>
      </c>
    </row>
    <row r="301" spans="1:71" x14ac:dyDescent="0.25">
      <c r="A301" t="s">
        <v>19</v>
      </c>
      <c r="B301" s="5" t="s">
        <v>5780</v>
      </c>
      <c r="C301" s="5" t="s">
        <v>21</v>
      </c>
      <c r="D301" s="5" t="s">
        <v>21</v>
      </c>
      <c r="E301" s="5" t="s">
        <v>21</v>
      </c>
      <c r="F301" s="5" t="s">
        <v>5781</v>
      </c>
      <c r="G301" s="5" t="s">
        <v>21</v>
      </c>
      <c r="H301" s="5" t="s">
        <v>21</v>
      </c>
      <c r="I301" s="5" t="s">
        <v>5782</v>
      </c>
      <c r="J301" s="12" t="s">
        <v>24</v>
      </c>
      <c r="K301" s="5" t="s">
        <v>21</v>
      </c>
      <c r="L301" s="5" t="s">
        <v>21</v>
      </c>
      <c r="M301" s="5" t="s">
        <v>25</v>
      </c>
      <c r="N301" s="5" t="s">
        <v>2836</v>
      </c>
      <c r="O301" s="5" t="s">
        <v>21</v>
      </c>
      <c r="P301" s="5" t="s">
        <v>21</v>
      </c>
      <c r="Q301" s="5" t="s">
        <v>21</v>
      </c>
      <c r="R301" s="5" t="s">
        <v>21</v>
      </c>
      <c r="S301" s="5" t="s">
        <v>21</v>
      </c>
      <c r="T301" s="5" t="s">
        <v>5783</v>
      </c>
      <c r="U301" s="5" t="s">
        <v>5784</v>
      </c>
      <c r="V301" s="5" t="s">
        <v>5785</v>
      </c>
      <c r="W301" s="5" t="s">
        <v>5786</v>
      </c>
      <c r="X301" s="5" t="s">
        <v>5787</v>
      </c>
      <c r="Y301" s="5" t="s">
        <v>5788</v>
      </c>
      <c r="Z301" s="5" t="s">
        <v>5789</v>
      </c>
      <c r="AA301" s="5" t="s">
        <v>5790</v>
      </c>
      <c r="AB301" s="5" t="s">
        <v>21</v>
      </c>
      <c r="AC301" s="5" t="s">
        <v>5791</v>
      </c>
      <c r="AD301" s="5" t="s">
        <v>5792</v>
      </c>
      <c r="AE301" s="5" t="s">
        <v>5793</v>
      </c>
      <c r="AF301" s="5">
        <v>35</v>
      </c>
      <c r="AG301" s="5">
        <v>2</v>
      </c>
      <c r="AH301" s="5">
        <v>2</v>
      </c>
      <c r="AI301" s="5">
        <v>1</v>
      </c>
      <c r="AJ301" s="5">
        <v>12</v>
      </c>
      <c r="AK301" s="5" t="s">
        <v>35</v>
      </c>
      <c r="AL301" s="5" t="s">
        <v>36</v>
      </c>
      <c r="AM301" s="5" t="s">
        <v>37</v>
      </c>
      <c r="AN301" s="5" t="s">
        <v>38</v>
      </c>
      <c r="AO301" s="5" t="s">
        <v>39</v>
      </c>
      <c r="AP301" s="5" t="s">
        <v>21</v>
      </c>
      <c r="AQ301" s="5" t="s">
        <v>40</v>
      </c>
      <c r="AR301" s="5" t="s">
        <v>41</v>
      </c>
      <c r="AS301" s="5" t="s">
        <v>5794</v>
      </c>
      <c r="AT301" s="5">
        <v>2023</v>
      </c>
      <c r="AU301" s="5" t="s">
        <v>21</v>
      </c>
      <c r="AV301" s="5" t="s">
        <v>21</v>
      </c>
      <c r="AW301" s="5" t="s">
        <v>21</v>
      </c>
      <c r="AX301" s="5" t="s">
        <v>21</v>
      </c>
      <c r="AY301" s="5" t="s">
        <v>21</v>
      </c>
      <c r="AZ301" s="5" t="s">
        <v>21</v>
      </c>
      <c r="BA301" s="5" t="s">
        <v>21</v>
      </c>
      <c r="BB301" s="5" t="s">
        <v>21</v>
      </c>
      <c r="BC301" s="5" t="s">
        <v>21</v>
      </c>
      <c r="BD301" s="5" t="s">
        <v>5795</v>
      </c>
      <c r="BE301" s="5" t="str">
        <f>HYPERLINK("http://dx.doi.org/10.1007/s10803-023-06216-y","http://dx.doi.org/10.1007/s10803-023-06216-y")</f>
        <v>http://dx.doi.org/10.1007/s10803-023-06216-y</v>
      </c>
      <c r="BF301" s="5" t="s">
        <v>21</v>
      </c>
      <c r="BG301" s="5" t="s">
        <v>5796</v>
      </c>
      <c r="BH301" s="5">
        <v>9</v>
      </c>
      <c r="BI301" s="5" t="s">
        <v>44</v>
      </c>
      <c r="BJ301" s="5" t="s">
        <v>45</v>
      </c>
      <c r="BK301" s="5" t="s">
        <v>46</v>
      </c>
      <c r="BL301" s="5" t="s">
        <v>5797</v>
      </c>
      <c r="BM301" s="5">
        <v>38079034</v>
      </c>
      <c r="BN301" s="5" t="s">
        <v>5798</v>
      </c>
      <c r="BO301" s="5" t="s">
        <v>21</v>
      </c>
      <c r="BP301" s="5" t="s">
        <v>21</v>
      </c>
      <c r="BQ301" s="5" t="s">
        <v>49</v>
      </c>
      <c r="BR301" s="5" t="s">
        <v>5799</v>
      </c>
      <c r="BS301" s="5" t="str">
        <f>HYPERLINK("https%3A%2F%2Fwww.webofscience.com%2Fwos%2Fwoscc%2Ffull-record%2FWOS:001120251200002","View Full Record in Web of Science")</f>
        <v>View Full Record in Web of Science</v>
      </c>
    </row>
    <row r="302" spans="1:71" x14ac:dyDescent="0.25">
      <c r="A302" t="s">
        <v>19</v>
      </c>
      <c r="B302" s="5" t="s">
        <v>5800</v>
      </c>
      <c r="C302" s="5" t="s">
        <v>21</v>
      </c>
      <c r="D302" s="5" t="s">
        <v>21</v>
      </c>
      <c r="E302" s="5" t="s">
        <v>21</v>
      </c>
      <c r="F302" s="5" t="s">
        <v>5801</v>
      </c>
      <c r="G302" s="5" t="s">
        <v>21</v>
      </c>
      <c r="H302" s="5" t="s">
        <v>21</v>
      </c>
      <c r="I302" s="5" t="s">
        <v>5802</v>
      </c>
      <c r="J302" s="12" t="s">
        <v>54</v>
      </c>
      <c r="K302" s="5" t="s">
        <v>21</v>
      </c>
      <c r="L302" s="5" t="s">
        <v>21</v>
      </c>
      <c r="M302" s="5" t="s">
        <v>25</v>
      </c>
      <c r="N302" s="5" t="s">
        <v>26</v>
      </c>
      <c r="O302" s="5" t="s">
        <v>21</v>
      </c>
      <c r="P302" s="5" t="s">
        <v>21</v>
      </c>
      <c r="Q302" s="5" t="s">
        <v>21</v>
      </c>
      <c r="R302" s="5" t="s">
        <v>21</v>
      </c>
      <c r="S302" s="5" t="s">
        <v>21</v>
      </c>
      <c r="T302" s="5" t="s">
        <v>5803</v>
      </c>
      <c r="U302" s="5" t="s">
        <v>5804</v>
      </c>
      <c r="V302" s="5" t="s">
        <v>5805</v>
      </c>
      <c r="W302" s="5" t="s">
        <v>5806</v>
      </c>
      <c r="X302" s="5" t="s">
        <v>5807</v>
      </c>
      <c r="Y302" s="5" t="s">
        <v>5808</v>
      </c>
      <c r="Z302" s="5" t="s">
        <v>3646</v>
      </c>
      <c r="AA302" s="5" t="s">
        <v>5809</v>
      </c>
      <c r="AB302" s="5" t="s">
        <v>5810</v>
      </c>
      <c r="AC302" s="5" t="s">
        <v>5811</v>
      </c>
      <c r="AD302" s="5" t="s">
        <v>5812</v>
      </c>
      <c r="AE302" s="5" t="s">
        <v>5813</v>
      </c>
      <c r="AF302" s="5">
        <v>78</v>
      </c>
      <c r="AG302" s="5">
        <v>2</v>
      </c>
      <c r="AH302" s="5">
        <v>3</v>
      </c>
      <c r="AI302" s="5">
        <v>2</v>
      </c>
      <c r="AJ302" s="5">
        <v>12</v>
      </c>
      <c r="AK302" s="5" t="s">
        <v>63</v>
      </c>
      <c r="AL302" s="5" t="s">
        <v>64</v>
      </c>
      <c r="AM302" s="5" t="s">
        <v>65</v>
      </c>
      <c r="AN302" s="5" t="s">
        <v>66</v>
      </c>
      <c r="AO302" s="5" t="s">
        <v>67</v>
      </c>
      <c r="AP302" s="5" t="s">
        <v>21</v>
      </c>
      <c r="AQ302" s="5" t="s">
        <v>54</v>
      </c>
      <c r="AR302" s="5" t="s">
        <v>68</v>
      </c>
      <c r="AS302" s="5" t="s">
        <v>89</v>
      </c>
      <c r="AT302" s="5">
        <v>2024</v>
      </c>
      <c r="AU302" s="5">
        <v>28</v>
      </c>
      <c r="AV302" s="5">
        <v>6</v>
      </c>
      <c r="AW302" s="5" t="s">
        <v>21</v>
      </c>
      <c r="AX302" s="5" t="s">
        <v>21</v>
      </c>
      <c r="AY302" s="5" t="s">
        <v>21</v>
      </c>
      <c r="AZ302" s="5" t="s">
        <v>21</v>
      </c>
      <c r="BA302" s="5">
        <v>1565</v>
      </c>
      <c r="BB302" s="5">
        <v>1581</v>
      </c>
      <c r="BC302" s="5" t="s">
        <v>21</v>
      </c>
      <c r="BD302" s="5" t="s">
        <v>5814</v>
      </c>
      <c r="BE302" s="5" t="str">
        <f>HYPERLINK("http://dx.doi.org/10.1177/13623613231211967","http://dx.doi.org/10.1177/13623613231211967")</f>
        <v>http://dx.doi.org/10.1177/13623613231211967</v>
      </c>
      <c r="BF302" s="5" t="s">
        <v>21</v>
      </c>
      <c r="BG302" s="5" t="s">
        <v>4401</v>
      </c>
      <c r="BH302" s="5">
        <v>17</v>
      </c>
      <c r="BI302" s="5" t="s">
        <v>44</v>
      </c>
      <c r="BJ302" s="5" t="s">
        <v>45</v>
      </c>
      <c r="BK302" s="5" t="s">
        <v>46</v>
      </c>
      <c r="BL302" s="5" t="s">
        <v>5815</v>
      </c>
      <c r="BM302" s="5">
        <v>38006222</v>
      </c>
      <c r="BN302" s="5" t="s">
        <v>5816</v>
      </c>
      <c r="BO302" s="5" t="s">
        <v>21</v>
      </c>
      <c r="BP302" s="5" t="s">
        <v>21</v>
      </c>
      <c r="BQ302" s="5" t="s">
        <v>49</v>
      </c>
      <c r="BR302" s="5" t="s">
        <v>5817</v>
      </c>
      <c r="BS302" s="5" t="str">
        <f>HYPERLINK("https%3A%2F%2Fwww.webofscience.com%2Fwos%2Fwoscc%2Ffull-record%2FWOS:001120773800001","View Full Record in Web of Science")</f>
        <v>View Full Record in Web of Science</v>
      </c>
    </row>
    <row r="303" spans="1:71" x14ac:dyDescent="0.25">
      <c r="A303" t="s">
        <v>19</v>
      </c>
      <c r="B303" s="5" t="s">
        <v>5818</v>
      </c>
      <c r="C303" s="5" t="s">
        <v>21</v>
      </c>
      <c r="D303" s="5" t="s">
        <v>21</v>
      </c>
      <c r="E303" s="5" t="s">
        <v>21</v>
      </c>
      <c r="F303" s="5" t="s">
        <v>5819</v>
      </c>
      <c r="G303" s="5" t="s">
        <v>21</v>
      </c>
      <c r="H303" s="5" t="s">
        <v>21</v>
      </c>
      <c r="I303" s="5" t="s">
        <v>5820</v>
      </c>
      <c r="J303" s="12" t="s">
        <v>1403</v>
      </c>
      <c r="K303" s="5" t="s">
        <v>21</v>
      </c>
      <c r="L303" s="5" t="s">
        <v>21</v>
      </c>
      <c r="M303" s="5" t="s">
        <v>25</v>
      </c>
      <c r="N303" s="5" t="s">
        <v>76</v>
      </c>
      <c r="O303" s="5" t="s">
        <v>21</v>
      </c>
      <c r="P303" s="5" t="s">
        <v>21</v>
      </c>
      <c r="Q303" s="5" t="s">
        <v>21</v>
      </c>
      <c r="R303" s="5" t="s">
        <v>21</v>
      </c>
      <c r="S303" s="5" t="s">
        <v>21</v>
      </c>
      <c r="T303" s="5" t="s">
        <v>5821</v>
      </c>
      <c r="U303" s="5" t="s">
        <v>5822</v>
      </c>
      <c r="V303" s="5" t="s">
        <v>5823</v>
      </c>
      <c r="W303" s="5" t="s">
        <v>5824</v>
      </c>
      <c r="X303" s="5" t="s">
        <v>5825</v>
      </c>
      <c r="Y303" s="5" t="s">
        <v>5826</v>
      </c>
      <c r="Z303" s="5" t="s">
        <v>5827</v>
      </c>
      <c r="AA303" s="5" t="s">
        <v>5828</v>
      </c>
      <c r="AB303" s="5" t="s">
        <v>5829</v>
      </c>
      <c r="AC303" s="5" t="s">
        <v>5830</v>
      </c>
      <c r="AD303" s="5" t="s">
        <v>5831</v>
      </c>
      <c r="AE303" s="5" t="s">
        <v>3987</v>
      </c>
      <c r="AF303" s="5">
        <v>47</v>
      </c>
      <c r="AG303" s="5">
        <v>2</v>
      </c>
      <c r="AH303" s="5">
        <v>2</v>
      </c>
      <c r="AI303" s="5">
        <v>1</v>
      </c>
      <c r="AJ303" s="5">
        <v>3</v>
      </c>
      <c r="AK303" s="5" t="s">
        <v>193</v>
      </c>
      <c r="AL303" s="5" t="s">
        <v>194</v>
      </c>
      <c r="AM303" s="5" t="s">
        <v>195</v>
      </c>
      <c r="AN303" s="5" t="s">
        <v>21</v>
      </c>
      <c r="AO303" s="5" t="s">
        <v>1414</v>
      </c>
      <c r="AP303" s="5" t="s">
        <v>21</v>
      </c>
      <c r="AQ303" s="5" t="s">
        <v>1403</v>
      </c>
      <c r="AR303" s="5" t="s">
        <v>1415</v>
      </c>
      <c r="AS303" s="5" t="s">
        <v>543</v>
      </c>
      <c r="AT303" s="5">
        <v>2023</v>
      </c>
      <c r="AU303" s="5">
        <v>10</v>
      </c>
      <c r="AV303" s="5">
        <v>11</v>
      </c>
      <c r="AW303" s="5" t="s">
        <v>21</v>
      </c>
      <c r="AX303" s="5" t="s">
        <v>21</v>
      </c>
      <c r="AY303" s="5" t="s">
        <v>21</v>
      </c>
      <c r="AZ303" s="5" t="s">
        <v>21</v>
      </c>
      <c r="BA303" s="5" t="s">
        <v>21</v>
      </c>
      <c r="BB303" s="5" t="s">
        <v>21</v>
      </c>
      <c r="BC303" s="5">
        <v>1828</v>
      </c>
      <c r="BD303" s="5" t="s">
        <v>5832</v>
      </c>
      <c r="BE303" s="5" t="str">
        <f>HYPERLINK("http://dx.doi.org/10.3390/children10111828","http://dx.doi.org/10.3390/children10111828")</f>
        <v>http://dx.doi.org/10.3390/children10111828</v>
      </c>
      <c r="BF303" s="5" t="s">
        <v>21</v>
      </c>
      <c r="BG303" s="5" t="s">
        <v>21</v>
      </c>
      <c r="BH303" s="5">
        <v>14</v>
      </c>
      <c r="BI303" s="5" t="s">
        <v>1417</v>
      </c>
      <c r="BJ303" s="5" t="s">
        <v>524</v>
      </c>
      <c r="BK303" s="5" t="s">
        <v>1417</v>
      </c>
      <c r="BL303" s="5" t="s">
        <v>5833</v>
      </c>
      <c r="BM303" s="5">
        <v>38002919</v>
      </c>
      <c r="BN303" s="5" t="s">
        <v>864</v>
      </c>
      <c r="BO303" s="5" t="s">
        <v>21</v>
      </c>
      <c r="BP303" s="5" t="s">
        <v>21</v>
      </c>
      <c r="BQ303" s="5" t="s">
        <v>49</v>
      </c>
      <c r="BR303" s="5" t="s">
        <v>5834</v>
      </c>
      <c r="BS303" s="5" t="str">
        <f>HYPERLINK("https%3A%2F%2Fwww.webofscience.com%2Fwos%2Fwoscc%2Ffull-record%2FWOS:001119804800001","View Full Record in Web of Science")</f>
        <v>View Full Record in Web of Science</v>
      </c>
    </row>
    <row r="304" spans="1:71" x14ac:dyDescent="0.25">
      <c r="A304" t="s">
        <v>19</v>
      </c>
      <c r="B304" s="5" t="s">
        <v>5835</v>
      </c>
      <c r="C304" s="5" t="s">
        <v>21</v>
      </c>
      <c r="D304" s="5" t="s">
        <v>21</v>
      </c>
      <c r="E304" s="5" t="s">
        <v>21</v>
      </c>
      <c r="F304" s="5" t="s">
        <v>5836</v>
      </c>
      <c r="G304" s="5" t="s">
        <v>21</v>
      </c>
      <c r="H304" s="5" t="s">
        <v>21</v>
      </c>
      <c r="I304" s="5" t="s">
        <v>5837</v>
      </c>
      <c r="J304" s="12" t="s">
        <v>5838</v>
      </c>
      <c r="K304" s="5" t="s">
        <v>21</v>
      </c>
      <c r="L304" s="5" t="s">
        <v>21</v>
      </c>
      <c r="M304" s="5" t="s">
        <v>25</v>
      </c>
      <c r="N304" s="5" t="s">
        <v>26</v>
      </c>
      <c r="O304" s="5" t="s">
        <v>21</v>
      </c>
      <c r="P304" s="5" t="s">
        <v>21</v>
      </c>
      <c r="Q304" s="5" t="s">
        <v>21</v>
      </c>
      <c r="R304" s="5" t="s">
        <v>21</v>
      </c>
      <c r="S304" s="5" t="s">
        <v>21</v>
      </c>
      <c r="T304" s="5" t="s">
        <v>5839</v>
      </c>
      <c r="U304" s="5" t="s">
        <v>5840</v>
      </c>
      <c r="V304" s="5" t="s">
        <v>5841</v>
      </c>
      <c r="W304" s="5" t="s">
        <v>5842</v>
      </c>
      <c r="X304" s="5" t="s">
        <v>5843</v>
      </c>
      <c r="Y304" s="5" t="s">
        <v>5844</v>
      </c>
      <c r="Z304" s="5" t="s">
        <v>5845</v>
      </c>
      <c r="AA304" s="5" t="s">
        <v>21</v>
      </c>
      <c r="AB304" s="5" t="s">
        <v>21</v>
      </c>
      <c r="AC304" s="5" t="s">
        <v>5846</v>
      </c>
      <c r="AD304" s="5" t="s">
        <v>5847</v>
      </c>
      <c r="AE304" s="5" t="s">
        <v>5848</v>
      </c>
      <c r="AF304" s="5">
        <v>75</v>
      </c>
      <c r="AG304" s="5">
        <v>2</v>
      </c>
      <c r="AH304" s="5">
        <v>2</v>
      </c>
      <c r="AI304" s="5">
        <v>3</v>
      </c>
      <c r="AJ304" s="5">
        <v>16</v>
      </c>
      <c r="AK304" s="5" t="s">
        <v>153</v>
      </c>
      <c r="AL304" s="5" t="s">
        <v>154</v>
      </c>
      <c r="AM304" s="5" t="s">
        <v>155</v>
      </c>
      <c r="AN304" s="5" t="s">
        <v>21</v>
      </c>
      <c r="AO304" s="5" t="s">
        <v>5849</v>
      </c>
      <c r="AP304" s="5" t="s">
        <v>21</v>
      </c>
      <c r="AQ304" s="5" t="s">
        <v>5850</v>
      </c>
      <c r="AR304" s="5" t="s">
        <v>5851</v>
      </c>
      <c r="AS304" s="5" t="s">
        <v>5852</v>
      </c>
      <c r="AT304" s="5">
        <v>2023</v>
      </c>
      <c r="AU304" s="5">
        <v>5</v>
      </c>
      <c r="AV304" s="5" t="s">
        <v>21</v>
      </c>
      <c r="AW304" s="5" t="s">
        <v>21</v>
      </c>
      <c r="AX304" s="5" t="s">
        <v>21</v>
      </c>
      <c r="AY304" s="5" t="s">
        <v>21</v>
      </c>
      <c r="AZ304" s="5" t="s">
        <v>21</v>
      </c>
      <c r="BA304" s="5" t="s">
        <v>21</v>
      </c>
      <c r="BB304" s="5" t="s">
        <v>21</v>
      </c>
      <c r="BC304" s="5">
        <v>1250652</v>
      </c>
      <c r="BD304" s="5" t="s">
        <v>5853</v>
      </c>
      <c r="BE304" s="5" t="str">
        <f>HYPERLINK("http://dx.doi.org/10.3389/fcomp.2023.1250652","http://dx.doi.org/10.3389/fcomp.2023.1250652")</f>
        <v>http://dx.doi.org/10.3389/fcomp.2023.1250652</v>
      </c>
      <c r="BF304" s="5" t="s">
        <v>21</v>
      </c>
      <c r="BG304" s="5" t="s">
        <v>21</v>
      </c>
      <c r="BH304" s="5">
        <v>17</v>
      </c>
      <c r="BI304" s="5" t="s">
        <v>3118</v>
      </c>
      <c r="BJ304" s="5" t="s">
        <v>1907</v>
      </c>
      <c r="BK304" s="5" t="s">
        <v>715</v>
      </c>
      <c r="BL304" s="5" t="s">
        <v>5854</v>
      </c>
      <c r="BM304" s="5" t="s">
        <v>21</v>
      </c>
      <c r="BN304" s="5" t="s">
        <v>1909</v>
      </c>
      <c r="BO304" s="5" t="s">
        <v>21</v>
      </c>
      <c r="BP304" s="5" t="s">
        <v>21</v>
      </c>
      <c r="BQ304" s="5" t="s">
        <v>49</v>
      </c>
      <c r="BR304" s="5" t="s">
        <v>5855</v>
      </c>
      <c r="BS304" s="5" t="str">
        <f>HYPERLINK("https%3A%2F%2Fwww.webofscience.com%2Fwos%2Fwoscc%2Ffull-record%2FWOS:001081206400001","View Full Record in Web of Science")</f>
        <v>View Full Record in Web of Science</v>
      </c>
    </row>
    <row r="305" spans="1:71" x14ac:dyDescent="0.25">
      <c r="A305" t="s">
        <v>19</v>
      </c>
      <c r="B305" s="5" t="s">
        <v>5856</v>
      </c>
      <c r="C305" s="5" t="s">
        <v>21</v>
      </c>
      <c r="D305" s="5" t="s">
        <v>21</v>
      </c>
      <c r="E305" s="5" t="s">
        <v>21</v>
      </c>
      <c r="F305" s="5" t="s">
        <v>5857</v>
      </c>
      <c r="G305" s="5" t="s">
        <v>21</v>
      </c>
      <c r="H305" s="5" t="s">
        <v>21</v>
      </c>
      <c r="I305" s="5" t="s">
        <v>5858</v>
      </c>
      <c r="J305" s="12" t="s">
        <v>5859</v>
      </c>
      <c r="K305" s="5" t="s">
        <v>21</v>
      </c>
      <c r="L305" s="5" t="s">
        <v>21</v>
      </c>
      <c r="M305" s="5" t="s">
        <v>25</v>
      </c>
      <c r="N305" s="5" t="s">
        <v>76</v>
      </c>
      <c r="O305" s="5" t="s">
        <v>21</v>
      </c>
      <c r="P305" s="5" t="s">
        <v>21</v>
      </c>
      <c r="Q305" s="5" t="s">
        <v>21</v>
      </c>
      <c r="R305" s="5" t="s">
        <v>21</v>
      </c>
      <c r="S305" s="5" t="s">
        <v>21</v>
      </c>
      <c r="T305" s="5" t="s">
        <v>5860</v>
      </c>
      <c r="U305" s="5" t="s">
        <v>5861</v>
      </c>
      <c r="V305" s="5" t="s">
        <v>5862</v>
      </c>
      <c r="W305" s="5" t="s">
        <v>5863</v>
      </c>
      <c r="X305" s="5" t="s">
        <v>5864</v>
      </c>
      <c r="Y305" s="5" t="s">
        <v>5865</v>
      </c>
      <c r="Z305" s="5" t="s">
        <v>5866</v>
      </c>
      <c r="AA305" s="5" t="s">
        <v>21</v>
      </c>
      <c r="AB305" s="5" t="s">
        <v>21</v>
      </c>
      <c r="AC305" s="5" t="s">
        <v>21</v>
      </c>
      <c r="AD305" s="5" t="s">
        <v>21</v>
      </c>
      <c r="AE305" s="5" t="s">
        <v>21</v>
      </c>
      <c r="AF305" s="5">
        <v>52</v>
      </c>
      <c r="AG305" s="5">
        <v>2</v>
      </c>
      <c r="AH305" s="5">
        <v>2</v>
      </c>
      <c r="AI305" s="5">
        <v>4</v>
      </c>
      <c r="AJ305" s="5">
        <v>16</v>
      </c>
      <c r="AK305" s="5" t="s">
        <v>2706</v>
      </c>
      <c r="AL305" s="5" t="s">
        <v>494</v>
      </c>
      <c r="AM305" s="5" t="s">
        <v>2707</v>
      </c>
      <c r="AN305" s="5" t="s">
        <v>5867</v>
      </c>
      <c r="AO305" s="5" t="s">
        <v>5868</v>
      </c>
      <c r="AP305" s="5" t="s">
        <v>21</v>
      </c>
      <c r="AQ305" s="5" t="s">
        <v>5869</v>
      </c>
      <c r="AR305" s="5" t="s">
        <v>5870</v>
      </c>
      <c r="AS305" s="5" t="s">
        <v>2064</v>
      </c>
      <c r="AT305" s="5">
        <v>2023</v>
      </c>
      <c r="AU305" s="5">
        <v>12</v>
      </c>
      <c r="AV305" s="5">
        <v>1</v>
      </c>
      <c r="AW305" s="5" t="s">
        <v>21</v>
      </c>
      <c r="AX305" s="5" t="s">
        <v>21</v>
      </c>
      <c r="AY305" s="5" t="s">
        <v>501</v>
      </c>
      <c r="AZ305" s="5" t="s">
        <v>21</v>
      </c>
      <c r="BA305" s="5">
        <v>53</v>
      </c>
      <c r="BB305" s="5">
        <v>66</v>
      </c>
      <c r="BC305" s="5" t="s">
        <v>21</v>
      </c>
      <c r="BD305" s="5" t="s">
        <v>5871</v>
      </c>
      <c r="BE305" s="5" t="str">
        <f>HYPERLINK("http://dx.doi.org/10.1080/21594937.2022.2152534","http://dx.doi.org/10.1080/21594937.2022.2152534")</f>
        <v>http://dx.doi.org/10.1080/21594937.2022.2152534</v>
      </c>
      <c r="BF305" s="5" t="s">
        <v>21</v>
      </c>
      <c r="BG305" s="5" t="s">
        <v>3073</v>
      </c>
      <c r="BH305" s="5">
        <v>14</v>
      </c>
      <c r="BI305" s="5" t="s">
        <v>5872</v>
      </c>
      <c r="BJ305" s="5" t="s">
        <v>1907</v>
      </c>
      <c r="BK305" s="5" t="s">
        <v>5873</v>
      </c>
      <c r="BL305" s="5" t="s">
        <v>5874</v>
      </c>
      <c r="BM305" s="5" t="s">
        <v>21</v>
      </c>
      <c r="BN305" s="5" t="s">
        <v>21</v>
      </c>
      <c r="BO305" s="5" t="s">
        <v>21</v>
      </c>
      <c r="BP305" s="5" t="s">
        <v>21</v>
      </c>
      <c r="BQ305" s="5" t="s">
        <v>49</v>
      </c>
      <c r="BR305" s="5" t="s">
        <v>5875</v>
      </c>
      <c r="BS305" s="5" t="str">
        <f>HYPERLINK("https%3A%2F%2Fwww.webofscience.com%2Fwos%2Fwoscc%2Ffull-record%2FWOS:000899917200001","View Full Record in Web of Science")</f>
        <v>View Full Record in Web of Science</v>
      </c>
    </row>
    <row r="306" spans="1:71" x14ac:dyDescent="0.25">
      <c r="A306" t="s">
        <v>19</v>
      </c>
      <c r="B306" s="5" t="s">
        <v>5876</v>
      </c>
      <c r="C306" s="5" t="s">
        <v>21</v>
      </c>
      <c r="D306" s="5" t="s">
        <v>21</v>
      </c>
      <c r="E306" s="5" t="s">
        <v>21</v>
      </c>
      <c r="F306" s="5" t="s">
        <v>5877</v>
      </c>
      <c r="G306" s="5" t="s">
        <v>21</v>
      </c>
      <c r="H306" s="5" t="s">
        <v>21</v>
      </c>
      <c r="I306" s="5" t="s">
        <v>5878</v>
      </c>
      <c r="J306" s="12" t="s">
        <v>646</v>
      </c>
      <c r="K306" s="5" t="s">
        <v>21</v>
      </c>
      <c r="L306" s="5" t="s">
        <v>21</v>
      </c>
      <c r="M306" s="5" t="s">
        <v>25</v>
      </c>
      <c r="N306" s="5" t="s">
        <v>26</v>
      </c>
      <c r="O306" s="5" t="s">
        <v>21</v>
      </c>
      <c r="P306" s="5" t="s">
        <v>21</v>
      </c>
      <c r="Q306" s="5" t="s">
        <v>21</v>
      </c>
      <c r="R306" s="5" t="s">
        <v>21</v>
      </c>
      <c r="S306" s="5" t="s">
        <v>21</v>
      </c>
      <c r="T306" s="5" t="s">
        <v>5879</v>
      </c>
      <c r="U306" s="5" t="s">
        <v>5880</v>
      </c>
      <c r="V306" s="5" t="s">
        <v>5881</v>
      </c>
      <c r="W306" s="5" t="s">
        <v>5882</v>
      </c>
      <c r="X306" s="5" t="s">
        <v>5883</v>
      </c>
      <c r="Y306" s="5" t="s">
        <v>5884</v>
      </c>
      <c r="Z306" s="5" t="s">
        <v>5885</v>
      </c>
      <c r="AA306" s="5" t="s">
        <v>5886</v>
      </c>
      <c r="AB306" s="5" t="s">
        <v>5887</v>
      </c>
      <c r="AC306" s="5" t="s">
        <v>5277</v>
      </c>
      <c r="AD306" s="5" t="s">
        <v>5278</v>
      </c>
      <c r="AE306" s="5" t="s">
        <v>3987</v>
      </c>
      <c r="AF306" s="5">
        <v>48</v>
      </c>
      <c r="AG306" s="5">
        <v>2</v>
      </c>
      <c r="AH306" s="5">
        <v>2</v>
      </c>
      <c r="AI306" s="5">
        <v>14</v>
      </c>
      <c r="AJ306" s="5">
        <v>40</v>
      </c>
      <c r="AK306" s="5" t="s">
        <v>659</v>
      </c>
      <c r="AL306" s="5" t="s">
        <v>660</v>
      </c>
      <c r="AM306" s="5" t="s">
        <v>661</v>
      </c>
      <c r="AN306" s="5" t="s">
        <v>662</v>
      </c>
      <c r="AO306" s="5" t="s">
        <v>663</v>
      </c>
      <c r="AP306" s="5" t="s">
        <v>21</v>
      </c>
      <c r="AQ306" s="5" t="s">
        <v>664</v>
      </c>
      <c r="AR306" s="5" t="s">
        <v>665</v>
      </c>
      <c r="AS306" s="5" t="s">
        <v>21</v>
      </c>
      <c r="AT306" s="5">
        <v>2023</v>
      </c>
      <c r="AU306" s="5">
        <v>31</v>
      </c>
      <c r="AV306" s="5" t="s">
        <v>21</v>
      </c>
      <c r="AW306" s="5" t="s">
        <v>21</v>
      </c>
      <c r="AX306" s="5" t="s">
        <v>21</v>
      </c>
      <c r="AY306" s="5" t="s">
        <v>21</v>
      </c>
      <c r="AZ306" s="5" t="s">
        <v>21</v>
      </c>
      <c r="BA306" s="5">
        <v>4570</v>
      </c>
      <c r="BB306" s="5">
        <v>4579</v>
      </c>
      <c r="BC306" s="5" t="s">
        <v>21</v>
      </c>
      <c r="BD306" s="5" t="s">
        <v>5888</v>
      </c>
      <c r="BE306" s="5" t="str">
        <f>HYPERLINK("http://dx.doi.org/10.1109/TNSRE.2023.3333049","http://dx.doi.org/10.1109/TNSRE.2023.3333049")</f>
        <v>http://dx.doi.org/10.1109/TNSRE.2023.3333049</v>
      </c>
      <c r="BF306" s="5" t="s">
        <v>21</v>
      </c>
      <c r="BG306" s="5" t="s">
        <v>21</v>
      </c>
      <c r="BH306" s="5">
        <v>10</v>
      </c>
      <c r="BI306" s="5" t="s">
        <v>667</v>
      </c>
      <c r="BJ306" s="5" t="s">
        <v>524</v>
      </c>
      <c r="BK306" s="5" t="s">
        <v>668</v>
      </c>
      <c r="BL306" s="5" t="s">
        <v>5889</v>
      </c>
      <c r="BM306" s="5">
        <v>37966937</v>
      </c>
      <c r="BN306" s="5" t="s">
        <v>1909</v>
      </c>
      <c r="BO306" s="5" t="s">
        <v>21</v>
      </c>
      <c r="BP306" s="5" t="s">
        <v>21</v>
      </c>
      <c r="BQ306" s="5" t="s">
        <v>49</v>
      </c>
      <c r="BR306" s="5" t="s">
        <v>5890</v>
      </c>
      <c r="BS306" s="5" t="str">
        <f>HYPERLINK("https%3A%2F%2Fwww.webofscience.com%2Fwos%2Fwoscc%2Ffull-record%2FWOS:001123396600002","View Full Record in Web of Science")</f>
        <v>View Full Record in Web of Science</v>
      </c>
    </row>
    <row r="307" spans="1:71" x14ac:dyDescent="0.25">
      <c r="A307" t="s">
        <v>19</v>
      </c>
      <c r="B307" s="5" t="s">
        <v>5891</v>
      </c>
      <c r="C307" s="5" t="s">
        <v>21</v>
      </c>
      <c r="D307" s="5" t="s">
        <v>21</v>
      </c>
      <c r="E307" s="5" t="s">
        <v>21</v>
      </c>
      <c r="F307" s="5" t="s">
        <v>5892</v>
      </c>
      <c r="G307" s="5" t="s">
        <v>21</v>
      </c>
      <c r="H307" s="5" t="s">
        <v>21</v>
      </c>
      <c r="I307" s="5" t="s">
        <v>5893</v>
      </c>
      <c r="J307" s="12" t="s">
        <v>2798</v>
      </c>
      <c r="K307" s="5" t="s">
        <v>21</v>
      </c>
      <c r="L307" s="5" t="s">
        <v>21</v>
      </c>
      <c r="M307" s="5" t="s">
        <v>25</v>
      </c>
      <c r="N307" s="5" t="s">
        <v>26</v>
      </c>
      <c r="O307" s="5" t="s">
        <v>21</v>
      </c>
      <c r="P307" s="5" t="s">
        <v>21</v>
      </c>
      <c r="Q307" s="5" t="s">
        <v>21</v>
      </c>
      <c r="R307" s="5" t="s">
        <v>21</v>
      </c>
      <c r="S307" s="5" t="s">
        <v>21</v>
      </c>
      <c r="T307" s="5" t="s">
        <v>5894</v>
      </c>
      <c r="U307" s="5" t="s">
        <v>5895</v>
      </c>
      <c r="V307" s="5" t="s">
        <v>5896</v>
      </c>
      <c r="W307" s="5" t="s">
        <v>5897</v>
      </c>
      <c r="X307" s="5" t="s">
        <v>5898</v>
      </c>
      <c r="Y307" s="5" t="s">
        <v>5899</v>
      </c>
      <c r="Z307" s="5" t="s">
        <v>5900</v>
      </c>
      <c r="AA307" s="5" t="s">
        <v>5901</v>
      </c>
      <c r="AB307" s="5" t="s">
        <v>21</v>
      </c>
      <c r="AC307" s="5" t="s">
        <v>21</v>
      </c>
      <c r="AD307" s="5" t="s">
        <v>21</v>
      </c>
      <c r="AE307" s="5" t="s">
        <v>21</v>
      </c>
      <c r="AF307" s="5">
        <v>47</v>
      </c>
      <c r="AG307" s="5">
        <v>2</v>
      </c>
      <c r="AH307" s="5">
        <v>2</v>
      </c>
      <c r="AI307" s="5">
        <v>7</v>
      </c>
      <c r="AJ307" s="5">
        <v>18</v>
      </c>
      <c r="AK307" s="5" t="s">
        <v>153</v>
      </c>
      <c r="AL307" s="5" t="s">
        <v>154</v>
      </c>
      <c r="AM307" s="5" t="s">
        <v>155</v>
      </c>
      <c r="AN307" s="5" t="s">
        <v>21</v>
      </c>
      <c r="AO307" s="5" t="s">
        <v>2805</v>
      </c>
      <c r="AP307" s="5" t="s">
        <v>21</v>
      </c>
      <c r="AQ307" s="5" t="s">
        <v>2806</v>
      </c>
      <c r="AR307" s="5" t="s">
        <v>2807</v>
      </c>
      <c r="AS307" s="5" t="s">
        <v>5902</v>
      </c>
      <c r="AT307" s="5">
        <v>2022</v>
      </c>
      <c r="AU307" s="5">
        <v>3</v>
      </c>
      <c r="AV307" s="5" t="s">
        <v>21</v>
      </c>
      <c r="AW307" s="5" t="s">
        <v>21</v>
      </c>
      <c r="AX307" s="5" t="s">
        <v>21</v>
      </c>
      <c r="AY307" s="5" t="s">
        <v>21</v>
      </c>
      <c r="AZ307" s="5" t="s">
        <v>21</v>
      </c>
      <c r="BA307" s="5" t="s">
        <v>21</v>
      </c>
      <c r="BB307" s="5" t="s">
        <v>21</v>
      </c>
      <c r="BC307" s="5">
        <v>1004162</v>
      </c>
      <c r="BD307" s="5" t="s">
        <v>5903</v>
      </c>
      <c r="BE307" s="5" t="str">
        <f>HYPERLINK("http://dx.doi.org/10.3389/frvir.2022.1004162","http://dx.doi.org/10.3389/frvir.2022.1004162")</f>
        <v>http://dx.doi.org/10.3389/frvir.2022.1004162</v>
      </c>
      <c r="BF307" s="5" t="s">
        <v>21</v>
      </c>
      <c r="BG307" s="5" t="s">
        <v>21</v>
      </c>
      <c r="BH307" s="5">
        <v>18</v>
      </c>
      <c r="BI307" s="5" t="s">
        <v>784</v>
      </c>
      <c r="BJ307" s="5" t="s">
        <v>1907</v>
      </c>
      <c r="BK307" s="5" t="s">
        <v>715</v>
      </c>
      <c r="BL307" s="5" t="s">
        <v>5904</v>
      </c>
      <c r="BM307" s="5" t="s">
        <v>21</v>
      </c>
      <c r="BN307" s="5" t="s">
        <v>1909</v>
      </c>
      <c r="BO307" s="5" t="s">
        <v>21</v>
      </c>
      <c r="BP307" s="5" t="s">
        <v>21</v>
      </c>
      <c r="BQ307" s="5" t="s">
        <v>49</v>
      </c>
      <c r="BR307" s="5" t="s">
        <v>5905</v>
      </c>
      <c r="BS307" s="5" t="str">
        <f>HYPERLINK("https%3A%2F%2Fwww.webofscience.com%2Fwos%2Fwoscc%2Ffull-record%2FWOS:001023305000001","View Full Record in Web of Science")</f>
        <v>View Full Record in Web of Science</v>
      </c>
    </row>
    <row r="308" spans="1:71" x14ac:dyDescent="0.25">
      <c r="A308" t="s">
        <v>19</v>
      </c>
      <c r="B308" s="5" t="s">
        <v>5906</v>
      </c>
      <c r="C308" s="5" t="s">
        <v>21</v>
      </c>
      <c r="D308" s="5" t="s">
        <v>21</v>
      </c>
      <c r="E308" s="5" t="s">
        <v>21</v>
      </c>
      <c r="F308" s="5" t="s">
        <v>5907</v>
      </c>
      <c r="G308" s="5" t="s">
        <v>21</v>
      </c>
      <c r="H308" s="5" t="s">
        <v>21</v>
      </c>
      <c r="I308" s="5" t="s">
        <v>5908</v>
      </c>
      <c r="J308" s="12" t="s">
        <v>5909</v>
      </c>
      <c r="K308" s="5" t="s">
        <v>21</v>
      </c>
      <c r="L308" s="5" t="s">
        <v>21</v>
      </c>
      <c r="M308" s="5" t="s">
        <v>25</v>
      </c>
      <c r="N308" s="5" t="s">
        <v>26</v>
      </c>
      <c r="O308" s="5" t="s">
        <v>21</v>
      </c>
      <c r="P308" s="5" t="s">
        <v>21</v>
      </c>
      <c r="Q308" s="5" t="s">
        <v>21</v>
      </c>
      <c r="R308" s="5" t="s">
        <v>21</v>
      </c>
      <c r="S308" s="5" t="s">
        <v>21</v>
      </c>
      <c r="T308" s="5" t="s">
        <v>5910</v>
      </c>
      <c r="U308" s="5" t="s">
        <v>21</v>
      </c>
      <c r="V308" s="5" t="s">
        <v>5911</v>
      </c>
      <c r="W308" s="5" t="s">
        <v>5912</v>
      </c>
      <c r="X308" s="5" t="s">
        <v>5913</v>
      </c>
      <c r="Y308" s="5" t="s">
        <v>5914</v>
      </c>
      <c r="Z308" s="5" t="s">
        <v>5915</v>
      </c>
      <c r="AA308" s="5" t="s">
        <v>21</v>
      </c>
      <c r="AB308" s="5" t="s">
        <v>21</v>
      </c>
      <c r="AC308" s="5" t="s">
        <v>21</v>
      </c>
      <c r="AD308" s="5" t="s">
        <v>21</v>
      </c>
      <c r="AE308" s="5" t="s">
        <v>21</v>
      </c>
      <c r="AF308" s="5">
        <v>25</v>
      </c>
      <c r="AG308" s="5">
        <v>2</v>
      </c>
      <c r="AH308" s="5">
        <v>2</v>
      </c>
      <c r="AI308" s="5">
        <v>2</v>
      </c>
      <c r="AJ308" s="5">
        <v>11</v>
      </c>
      <c r="AK308" s="5" t="s">
        <v>5916</v>
      </c>
      <c r="AL308" s="5" t="s">
        <v>5917</v>
      </c>
      <c r="AM308" s="5" t="s">
        <v>5918</v>
      </c>
      <c r="AN308" s="5" t="s">
        <v>5919</v>
      </c>
      <c r="AO308" s="5" t="s">
        <v>5920</v>
      </c>
      <c r="AP308" s="5" t="s">
        <v>21</v>
      </c>
      <c r="AQ308" s="5" t="s">
        <v>5921</v>
      </c>
      <c r="AR308" s="5" t="s">
        <v>5922</v>
      </c>
      <c r="AS308" s="5" t="s">
        <v>543</v>
      </c>
      <c r="AT308" s="5">
        <v>2022</v>
      </c>
      <c r="AU308" s="5">
        <v>87</v>
      </c>
      <c r="AV308" s="5">
        <v>4</v>
      </c>
      <c r="AW308" s="5" t="s">
        <v>21</v>
      </c>
      <c r="AX308" s="5" t="s">
        <v>21</v>
      </c>
      <c r="AY308" s="5" t="s">
        <v>21</v>
      </c>
      <c r="AZ308" s="5" t="s">
        <v>21</v>
      </c>
      <c r="BA308" s="5">
        <v>717</v>
      </c>
      <c r="BB308" s="5">
        <v>728</v>
      </c>
      <c r="BC308" s="5" t="s">
        <v>21</v>
      </c>
      <c r="BD308" s="5" t="s">
        <v>5923</v>
      </c>
      <c r="BE308" s="5" t="str">
        <f>HYPERLINK("http://dx.doi.org/10.1016/j.evopsy.2022.01.001","http://dx.doi.org/10.1016/j.evopsy.2022.01.001")</f>
        <v>http://dx.doi.org/10.1016/j.evopsy.2022.01.001</v>
      </c>
      <c r="BF308" s="5" t="s">
        <v>21</v>
      </c>
      <c r="BG308" s="5" t="s">
        <v>1849</v>
      </c>
      <c r="BH308" s="5">
        <v>12</v>
      </c>
      <c r="BI308" s="5" t="s">
        <v>161</v>
      </c>
      <c r="BJ308" s="5" t="s">
        <v>45</v>
      </c>
      <c r="BK308" s="5" t="s">
        <v>161</v>
      </c>
      <c r="BL308" s="5" t="s">
        <v>5924</v>
      </c>
      <c r="BM308" s="5" t="s">
        <v>21</v>
      </c>
      <c r="BN308" s="5" t="s">
        <v>21</v>
      </c>
      <c r="BO308" s="5" t="s">
        <v>21</v>
      </c>
      <c r="BP308" s="5" t="s">
        <v>21</v>
      </c>
      <c r="BQ308" s="5" t="s">
        <v>49</v>
      </c>
      <c r="BR308" s="5" t="s">
        <v>5925</v>
      </c>
      <c r="BS308" s="5" t="str">
        <f>HYPERLINK("https%3A%2F%2Fwww.webofscience.com%2Fwos%2Fwoscc%2Ffull-record%2FWOS:000931637100006","View Full Record in Web of Science")</f>
        <v>View Full Record in Web of Science</v>
      </c>
    </row>
    <row r="309" spans="1:71" x14ac:dyDescent="0.25">
      <c r="A309" t="s">
        <v>19</v>
      </c>
      <c r="B309" s="5" t="s">
        <v>5926</v>
      </c>
      <c r="C309" s="5" t="s">
        <v>21</v>
      </c>
      <c r="D309" s="5" t="s">
        <v>21</v>
      </c>
      <c r="E309" s="5" t="s">
        <v>21</v>
      </c>
      <c r="F309" s="5" t="s">
        <v>5927</v>
      </c>
      <c r="G309" s="5" t="s">
        <v>21</v>
      </c>
      <c r="H309" s="5" t="s">
        <v>21</v>
      </c>
      <c r="I309" s="5" t="s">
        <v>5928</v>
      </c>
      <c r="J309" s="12" t="s">
        <v>2798</v>
      </c>
      <c r="K309" s="5" t="s">
        <v>21</v>
      </c>
      <c r="L309" s="5" t="s">
        <v>21</v>
      </c>
      <c r="M309" s="5" t="s">
        <v>25</v>
      </c>
      <c r="N309" s="5" t="s">
        <v>26</v>
      </c>
      <c r="O309" s="5" t="s">
        <v>21</v>
      </c>
      <c r="P309" s="5" t="s">
        <v>21</v>
      </c>
      <c r="Q309" s="5" t="s">
        <v>21</v>
      </c>
      <c r="R309" s="5" t="s">
        <v>21</v>
      </c>
      <c r="S309" s="5" t="s">
        <v>21</v>
      </c>
      <c r="T309" s="5" t="s">
        <v>5929</v>
      </c>
      <c r="U309" s="5" t="s">
        <v>5930</v>
      </c>
      <c r="V309" s="5" t="s">
        <v>5931</v>
      </c>
      <c r="W309" s="5" t="s">
        <v>5932</v>
      </c>
      <c r="X309" s="5" t="s">
        <v>5933</v>
      </c>
      <c r="Y309" s="5" t="s">
        <v>5934</v>
      </c>
      <c r="Z309" s="5" t="s">
        <v>5935</v>
      </c>
      <c r="AA309" s="5" t="s">
        <v>5936</v>
      </c>
      <c r="AB309" s="5" t="s">
        <v>5937</v>
      </c>
      <c r="AC309" s="5" t="s">
        <v>5938</v>
      </c>
      <c r="AD309" s="5" t="s">
        <v>5939</v>
      </c>
      <c r="AE309" s="5" t="s">
        <v>5940</v>
      </c>
      <c r="AF309" s="5">
        <v>52</v>
      </c>
      <c r="AG309" s="5">
        <v>2</v>
      </c>
      <c r="AH309" s="5">
        <v>2</v>
      </c>
      <c r="AI309" s="5">
        <v>4</v>
      </c>
      <c r="AJ309" s="5">
        <v>11</v>
      </c>
      <c r="AK309" s="5" t="s">
        <v>153</v>
      </c>
      <c r="AL309" s="5" t="s">
        <v>154</v>
      </c>
      <c r="AM309" s="5" t="s">
        <v>155</v>
      </c>
      <c r="AN309" s="5" t="s">
        <v>21</v>
      </c>
      <c r="AO309" s="5" t="s">
        <v>2805</v>
      </c>
      <c r="AP309" s="5" t="s">
        <v>21</v>
      </c>
      <c r="AQ309" s="5" t="s">
        <v>2806</v>
      </c>
      <c r="AR309" s="5" t="s">
        <v>2807</v>
      </c>
      <c r="AS309" s="5" t="s">
        <v>5941</v>
      </c>
      <c r="AT309" s="5">
        <v>2022</v>
      </c>
      <c r="AU309" s="5">
        <v>3</v>
      </c>
      <c r="AV309" s="5" t="s">
        <v>21</v>
      </c>
      <c r="AW309" s="5" t="s">
        <v>21</v>
      </c>
      <c r="AX309" s="5" t="s">
        <v>21</v>
      </c>
      <c r="AY309" s="5" t="s">
        <v>21</v>
      </c>
      <c r="AZ309" s="5" t="s">
        <v>21</v>
      </c>
      <c r="BA309" s="5" t="s">
        <v>21</v>
      </c>
      <c r="BB309" s="5" t="s">
        <v>21</v>
      </c>
      <c r="BC309" s="5">
        <v>826241</v>
      </c>
      <c r="BD309" s="5" t="s">
        <v>5942</v>
      </c>
      <c r="BE309" s="5" t="str">
        <f>HYPERLINK("http://dx.doi.org/10.3389/frvir.2022.826241","http://dx.doi.org/10.3389/frvir.2022.826241")</f>
        <v>http://dx.doi.org/10.3389/frvir.2022.826241</v>
      </c>
      <c r="BF309" s="5" t="s">
        <v>21</v>
      </c>
      <c r="BG309" s="5" t="s">
        <v>21</v>
      </c>
      <c r="BH309" s="5">
        <v>14</v>
      </c>
      <c r="BI309" s="5" t="s">
        <v>784</v>
      </c>
      <c r="BJ309" s="5" t="s">
        <v>1907</v>
      </c>
      <c r="BK309" s="5" t="s">
        <v>715</v>
      </c>
      <c r="BL309" s="5" t="s">
        <v>5943</v>
      </c>
      <c r="BM309" s="5" t="s">
        <v>21</v>
      </c>
      <c r="BN309" s="5" t="s">
        <v>1909</v>
      </c>
      <c r="BO309" s="5" t="s">
        <v>21</v>
      </c>
      <c r="BP309" s="5" t="s">
        <v>21</v>
      </c>
      <c r="BQ309" s="5" t="s">
        <v>49</v>
      </c>
      <c r="BR309" s="5" t="s">
        <v>5944</v>
      </c>
      <c r="BS309" s="5" t="str">
        <f>HYPERLINK("https%3A%2F%2Fwww.webofscience.com%2Fwos%2Fwoscc%2Ffull-record%2FWOS:001021813400001","View Full Record in Web of Science")</f>
        <v>View Full Record in Web of Science</v>
      </c>
    </row>
    <row r="310" spans="1:71" x14ac:dyDescent="0.25">
      <c r="A310" t="s">
        <v>19</v>
      </c>
      <c r="B310" s="5" t="s">
        <v>5945</v>
      </c>
      <c r="C310" s="5" t="s">
        <v>21</v>
      </c>
      <c r="D310" s="5" t="s">
        <v>21</v>
      </c>
      <c r="E310" s="5" t="s">
        <v>21</v>
      </c>
      <c r="F310" s="5" t="s">
        <v>5946</v>
      </c>
      <c r="G310" s="5" t="s">
        <v>21</v>
      </c>
      <c r="H310" s="5" t="s">
        <v>21</v>
      </c>
      <c r="I310" s="5" t="s">
        <v>5947</v>
      </c>
      <c r="J310" s="12" t="s">
        <v>2972</v>
      </c>
      <c r="K310" s="5" t="s">
        <v>21</v>
      </c>
      <c r="L310" s="5" t="s">
        <v>21</v>
      </c>
      <c r="M310" s="5" t="s">
        <v>25</v>
      </c>
      <c r="N310" s="5" t="s">
        <v>26</v>
      </c>
      <c r="O310" s="5" t="s">
        <v>21</v>
      </c>
      <c r="P310" s="5" t="s">
        <v>21</v>
      </c>
      <c r="Q310" s="5" t="s">
        <v>21</v>
      </c>
      <c r="R310" s="5" t="s">
        <v>21</v>
      </c>
      <c r="S310" s="5" t="s">
        <v>21</v>
      </c>
      <c r="T310" s="5" t="s">
        <v>5948</v>
      </c>
      <c r="U310" s="5" t="s">
        <v>5949</v>
      </c>
      <c r="V310" s="5" t="s">
        <v>5950</v>
      </c>
      <c r="W310" s="5" t="s">
        <v>5951</v>
      </c>
      <c r="X310" s="5" t="s">
        <v>5952</v>
      </c>
      <c r="Y310" s="5" t="s">
        <v>5953</v>
      </c>
      <c r="Z310" s="5" t="s">
        <v>4916</v>
      </c>
      <c r="AA310" s="5" t="s">
        <v>1451</v>
      </c>
      <c r="AB310" s="5" t="s">
        <v>5954</v>
      </c>
      <c r="AC310" s="5" t="s">
        <v>21</v>
      </c>
      <c r="AD310" s="5" t="s">
        <v>21</v>
      </c>
      <c r="AE310" s="5" t="s">
        <v>21</v>
      </c>
      <c r="AF310" s="5">
        <v>32</v>
      </c>
      <c r="AG310" s="5">
        <v>2</v>
      </c>
      <c r="AH310" s="5">
        <v>2</v>
      </c>
      <c r="AI310" s="5">
        <v>1</v>
      </c>
      <c r="AJ310" s="5">
        <v>12</v>
      </c>
      <c r="AK310" s="5" t="s">
        <v>2981</v>
      </c>
      <c r="AL310" s="5" t="s">
        <v>2982</v>
      </c>
      <c r="AM310" s="5" t="s">
        <v>3570</v>
      </c>
      <c r="AN310" s="5" t="s">
        <v>2984</v>
      </c>
      <c r="AO310" s="5" t="s">
        <v>21</v>
      </c>
      <c r="AP310" s="5" t="s">
        <v>21</v>
      </c>
      <c r="AQ310" s="5" t="s">
        <v>2985</v>
      </c>
      <c r="AR310" s="5" t="s">
        <v>2986</v>
      </c>
      <c r="AS310" s="5" t="s">
        <v>4917</v>
      </c>
      <c r="AT310" s="5">
        <v>2022</v>
      </c>
      <c r="AU310" s="5">
        <v>16</v>
      </c>
      <c r="AV310" s="5">
        <v>2</v>
      </c>
      <c r="AW310" s="5" t="s">
        <v>21</v>
      </c>
      <c r="AX310" s="5" t="s">
        <v>21</v>
      </c>
      <c r="AY310" s="5" t="s">
        <v>501</v>
      </c>
      <c r="AZ310" s="5" t="s">
        <v>21</v>
      </c>
      <c r="BA310" s="5">
        <v>115</v>
      </c>
      <c r="BB310" s="5">
        <v>123</v>
      </c>
      <c r="BC310" s="5" t="s">
        <v>21</v>
      </c>
      <c r="BD310" s="5" t="s">
        <v>5955</v>
      </c>
      <c r="BE310" s="5" t="str">
        <f>HYPERLINK("http://dx.doi.org/10.1108/JET-01-2022-0008","http://dx.doi.org/10.1108/JET-01-2022-0008")</f>
        <v>http://dx.doi.org/10.1108/JET-01-2022-0008</v>
      </c>
      <c r="BF310" s="5" t="s">
        <v>21</v>
      </c>
      <c r="BG310" s="5" t="s">
        <v>3439</v>
      </c>
      <c r="BH310" s="5">
        <v>9</v>
      </c>
      <c r="BI310" s="5" t="s">
        <v>2990</v>
      </c>
      <c r="BJ310" s="5" t="s">
        <v>1907</v>
      </c>
      <c r="BK310" s="5" t="s">
        <v>2990</v>
      </c>
      <c r="BL310" s="5" t="s">
        <v>4919</v>
      </c>
      <c r="BM310" s="5" t="s">
        <v>21</v>
      </c>
      <c r="BN310" s="5" t="s">
        <v>21</v>
      </c>
      <c r="BO310" s="5" t="s">
        <v>21</v>
      </c>
      <c r="BP310" s="5" t="s">
        <v>21</v>
      </c>
      <c r="BQ310" s="5" t="s">
        <v>49</v>
      </c>
      <c r="BR310" s="5" t="s">
        <v>5956</v>
      </c>
      <c r="BS310" s="5" t="str">
        <f>HYPERLINK("https%3A%2F%2Fwww.webofscience.com%2Fwos%2Fwoscc%2Ffull-record%2FWOS:000772801400001","View Full Record in Web of Science")</f>
        <v>View Full Record in Web of Science</v>
      </c>
    </row>
    <row r="311" spans="1:71" x14ac:dyDescent="0.25">
      <c r="A311" t="s">
        <v>19</v>
      </c>
      <c r="B311" s="5" t="s">
        <v>5957</v>
      </c>
      <c r="C311" s="5" t="s">
        <v>21</v>
      </c>
      <c r="D311" s="5" t="s">
        <v>21</v>
      </c>
      <c r="E311" s="5" t="s">
        <v>21</v>
      </c>
      <c r="F311" s="5" t="s">
        <v>5958</v>
      </c>
      <c r="G311" s="5" t="s">
        <v>21</v>
      </c>
      <c r="H311" s="5" t="s">
        <v>21</v>
      </c>
      <c r="I311" s="5" t="s">
        <v>5959</v>
      </c>
      <c r="J311" s="12" t="s">
        <v>5960</v>
      </c>
      <c r="K311" s="5" t="s">
        <v>21</v>
      </c>
      <c r="L311" s="5" t="s">
        <v>21</v>
      </c>
      <c r="M311" s="5" t="s">
        <v>25</v>
      </c>
      <c r="N311" s="5" t="s">
        <v>76</v>
      </c>
      <c r="O311" s="5" t="s">
        <v>21</v>
      </c>
      <c r="P311" s="5" t="s">
        <v>21</v>
      </c>
      <c r="Q311" s="5" t="s">
        <v>21</v>
      </c>
      <c r="R311" s="5" t="s">
        <v>21</v>
      </c>
      <c r="S311" s="5" t="s">
        <v>21</v>
      </c>
      <c r="T311" s="5" t="s">
        <v>5961</v>
      </c>
      <c r="U311" s="5" t="s">
        <v>5962</v>
      </c>
      <c r="V311" s="5" t="s">
        <v>5963</v>
      </c>
      <c r="W311" s="5" t="s">
        <v>5964</v>
      </c>
      <c r="X311" s="5" t="s">
        <v>5965</v>
      </c>
      <c r="Y311" s="5" t="s">
        <v>5966</v>
      </c>
      <c r="Z311" s="5" t="s">
        <v>5967</v>
      </c>
      <c r="AA311" s="5" t="s">
        <v>5968</v>
      </c>
      <c r="AB311" s="5" t="s">
        <v>5969</v>
      </c>
      <c r="AC311" s="5" t="s">
        <v>21</v>
      </c>
      <c r="AD311" s="5" t="s">
        <v>21</v>
      </c>
      <c r="AE311" s="5" t="s">
        <v>21</v>
      </c>
      <c r="AF311" s="5">
        <v>66</v>
      </c>
      <c r="AG311" s="5">
        <v>1</v>
      </c>
      <c r="AH311" s="5">
        <v>1</v>
      </c>
      <c r="AI311" s="5">
        <v>1</v>
      </c>
      <c r="AJ311" s="5">
        <v>1</v>
      </c>
      <c r="AK311" s="5" t="s">
        <v>193</v>
      </c>
      <c r="AL311" s="5" t="s">
        <v>194</v>
      </c>
      <c r="AM311" s="5" t="s">
        <v>1413</v>
      </c>
      <c r="AN311" s="5" t="s">
        <v>21</v>
      </c>
      <c r="AO311" s="5" t="s">
        <v>5970</v>
      </c>
      <c r="AP311" s="5" t="s">
        <v>21</v>
      </c>
      <c r="AQ311" s="5" t="s">
        <v>5960</v>
      </c>
      <c r="AR311" s="5" t="s">
        <v>5971</v>
      </c>
      <c r="AS311" s="5" t="s">
        <v>334</v>
      </c>
      <c r="AT311" s="5">
        <v>2025</v>
      </c>
      <c r="AU311" s="5">
        <v>13</v>
      </c>
      <c r="AV311" s="5">
        <v>2</v>
      </c>
      <c r="AW311" s="5" t="s">
        <v>21</v>
      </c>
      <c r="AX311" s="5" t="s">
        <v>21</v>
      </c>
      <c r="AY311" s="5" t="s">
        <v>21</v>
      </c>
      <c r="AZ311" s="5" t="s">
        <v>21</v>
      </c>
      <c r="BA311" s="5" t="s">
        <v>21</v>
      </c>
      <c r="BB311" s="5" t="s">
        <v>21</v>
      </c>
      <c r="BC311" s="5">
        <v>76</v>
      </c>
      <c r="BD311" s="5" t="s">
        <v>5972</v>
      </c>
      <c r="BE311" s="5" t="str">
        <f>HYPERLINK("http://dx.doi.org/10.3390/technologies13020076","http://dx.doi.org/10.3390/technologies13020076")</f>
        <v>http://dx.doi.org/10.3390/technologies13020076</v>
      </c>
      <c r="BF311" s="5" t="s">
        <v>21</v>
      </c>
      <c r="BG311" s="5" t="s">
        <v>21</v>
      </c>
      <c r="BH311" s="5">
        <v>18</v>
      </c>
      <c r="BI311" s="5" t="s">
        <v>5973</v>
      </c>
      <c r="BJ311" s="5" t="s">
        <v>1907</v>
      </c>
      <c r="BK311" s="5" t="s">
        <v>934</v>
      </c>
      <c r="BL311" s="5" t="s">
        <v>5974</v>
      </c>
      <c r="BM311" s="5" t="s">
        <v>21</v>
      </c>
      <c r="BN311" s="5" t="s">
        <v>864</v>
      </c>
      <c r="BO311" s="5" t="s">
        <v>21</v>
      </c>
      <c r="BP311" s="5" t="s">
        <v>21</v>
      </c>
      <c r="BQ311" s="5" t="s">
        <v>49</v>
      </c>
      <c r="BR311" s="5" t="s">
        <v>5975</v>
      </c>
      <c r="BS311" s="5" t="str">
        <f>HYPERLINK("https%3A%2F%2Fwww.webofscience.com%2Fwos%2Fwoscc%2Ffull-record%2FWOS:001429568100001","View Full Record in Web of Science")</f>
        <v>View Full Record in Web of Science</v>
      </c>
    </row>
    <row r="312" spans="1:71" x14ac:dyDescent="0.25">
      <c r="A312" t="s">
        <v>19</v>
      </c>
      <c r="B312" s="5" t="s">
        <v>5976</v>
      </c>
      <c r="C312" s="5" t="s">
        <v>21</v>
      </c>
      <c r="D312" s="5" t="s">
        <v>21</v>
      </c>
      <c r="E312" s="5" t="s">
        <v>21</v>
      </c>
      <c r="F312" s="5" t="s">
        <v>5977</v>
      </c>
      <c r="G312" s="5" t="s">
        <v>21</v>
      </c>
      <c r="H312" s="5" t="s">
        <v>21</v>
      </c>
      <c r="I312" s="5" t="s">
        <v>5978</v>
      </c>
      <c r="J312" s="12" t="s">
        <v>5979</v>
      </c>
      <c r="K312" s="5" t="s">
        <v>21</v>
      </c>
      <c r="L312" s="5" t="s">
        <v>21</v>
      </c>
      <c r="M312" s="5" t="s">
        <v>25</v>
      </c>
      <c r="N312" s="5" t="s">
        <v>76</v>
      </c>
      <c r="O312" s="5" t="s">
        <v>21</v>
      </c>
      <c r="P312" s="5" t="s">
        <v>21</v>
      </c>
      <c r="Q312" s="5" t="s">
        <v>21</v>
      </c>
      <c r="R312" s="5" t="s">
        <v>21</v>
      </c>
      <c r="S312" s="5" t="s">
        <v>21</v>
      </c>
      <c r="T312" s="5" t="s">
        <v>5980</v>
      </c>
      <c r="U312" s="5" t="s">
        <v>5981</v>
      </c>
      <c r="V312" s="5" t="s">
        <v>5982</v>
      </c>
      <c r="W312" s="5" t="s">
        <v>5983</v>
      </c>
      <c r="X312" s="5" t="s">
        <v>5984</v>
      </c>
      <c r="Y312" s="5" t="s">
        <v>5985</v>
      </c>
      <c r="Z312" s="5" t="s">
        <v>5986</v>
      </c>
      <c r="AA312" s="5" t="s">
        <v>21</v>
      </c>
      <c r="AB312" s="5" t="s">
        <v>21</v>
      </c>
      <c r="AC312" s="5" t="s">
        <v>5987</v>
      </c>
      <c r="AD312" s="5" t="s">
        <v>5987</v>
      </c>
      <c r="AE312" s="5" t="s">
        <v>5988</v>
      </c>
      <c r="AF312" s="5">
        <v>156</v>
      </c>
      <c r="AG312" s="5">
        <v>1</v>
      </c>
      <c r="AH312" s="5">
        <v>1</v>
      </c>
      <c r="AI312" s="5">
        <v>5</v>
      </c>
      <c r="AJ312" s="5">
        <v>5</v>
      </c>
      <c r="AK312" s="5" t="s">
        <v>153</v>
      </c>
      <c r="AL312" s="5" t="s">
        <v>154</v>
      </c>
      <c r="AM312" s="5" t="s">
        <v>155</v>
      </c>
      <c r="AN312" s="5" t="s">
        <v>5989</v>
      </c>
      <c r="AO312" s="5" t="s">
        <v>21</v>
      </c>
      <c r="AP312" s="5" t="s">
        <v>21</v>
      </c>
      <c r="AQ312" s="5" t="s">
        <v>5990</v>
      </c>
      <c r="AR312" s="5" t="s">
        <v>5991</v>
      </c>
      <c r="AS312" s="5" t="s">
        <v>5992</v>
      </c>
      <c r="AT312" s="5">
        <v>2025</v>
      </c>
      <c r="AU312" s="5">
        <v>18</v>
      </c>
      <c r="AV312" s="5" t="s">
        <v>21</v>
      </c>
      <c r="AW312" s="5" t="s">
        <v>21</v>
      </c>
      <c r="AX312" s="5" t="s">
        <v>21</v>
      </c>
      <c r="AY312" s="5" t="s">
        <v>21</v>
      </c>
      <c r="AZ312" s="5" t="s">
        <v>21</v>
      </c>
      <c r="BA312" s="5" t="s">
        <v>21</v>
      </c>
      <c r="BB312" s="5" t="s">
        <v>21</v>
      </c>
      <c r="BC312" s="5">
        <v>1441615</v>
      </c>
      <c r="BD312" s="5" t="s">
        <v>5993</v>
      </c>
      <c r="BE312" s="5" t="str">
        <f>HYPERLINK("http://dx.doi.org/10.3389/fnbeh.2024.1441615","http://dx.doi.org/10.3389/fnbeh.2024.1441615")</f>
        <v>http://dx.doi.org/10.3389/fnbeh.2024.1441615</v>
      </c>
      <c r="BF312" s="5" t="s">
        <v>21</v>
      </c>
      <c r="BG312" s="5" t="s">
        <v>21</v>
      </c>
      <c r="BH312" s="5">
        <v>14</v>
      </c>
      <c r="BI312" s="5" t="s">
        <v>5994</v>
      </c>
      <c r="BJ312" s="5" t="s">
        <v>524</v>
      </c>
      <c r="BK312" s="5" t="s">
        <v>5995</v>
      </c>
      <c r="BL312" s="5" t="s">
        <v>5996</v>
      </c>
      <c r="BM312" s="5">
        <v>39882439</v>
      </c>
      <c r="BN312" s="5" t="s">
        <v>1909</v>
      </c>
      <c r="BO312" s="5" t="s">
        <v>21</v>
      </c>
      <c r="BP312" s="5" t="s">
        <v>21</v>
      </c>
      <c r="BQ312" s="5" t="s">
        <v>49</v>
      </c>
      <c r="BR312" s="5" t="s">
        <v>5997</v>
      </c>
      <c r="BS312" s="5" t="str">
        <f>HYPERLINK("https%3A%2F%2Fwww.webofscience.com%2Fwos%2Fwoscc%2Ffull-record%2FWOS:001407853200001","View Full Record in Web of Science")</f>
        <v>View Full Record in Web of Science</v>
      </c>
    </row>
    <row r="313" spans="1:71" x14ac:dyDescent="0.25">
      <c r="A313" t="s">
        <v>19</v>
      </c>
      <c r="B313" s="5" t="s">
        <v>5998</v>
      </c>
      <c r="C313" s="5" t="s">
        <v>21</v>
      </c>
      <c r="D313" s="5" t="s">
        <v>21</v>
      </c>
      <c r="E313" s="5" t="s">
        <v>21</v>
      </c>
      <c r="F313" s="5" t="s">
        <v>5999</v>
      </c>
      <c r="G313" s="5" t="s">
        <v>21</v>
      </c>
      <c r="H313" s="5" t="s">
        <v>21</v>
      </c>
      <c r="I313" s="5" t="s">
        <v>6000</v>
      </c>
      <c r="J313" s="12" t="s">
        <v>2329</v>
      </c>
      <c r="K313" s="5" t="s">
        <v>21</v>
      </c>
      <c r="L313" s="5" t="s">
        <v>21</v>
      </c>
      <c r="M313" s="5" t="s">
        <v>25</v>
      </c>
      <c r="N313" s="5" t="s">
        <v>26</v>
      </c>
      <c r="O313" s="5" t="s">
        <v>21</v>
      </c>
      <c r="P313" s="5" t="s">
        <v>21</v>
      </c>
      <c r="Q313" s="5" t="s">
        <v>21</v>
      </c>
      <c r="R313" s="5" t="s">
        <v>21</v>
      </c>
      <c r="S313" s="5" t="s">
        <v>21</v>
      </c>
      <c r="T313" s="5" t="s">
        <v>6001</v>
      </c>
      <c r="U313" s="5" t="s">
        <v>6002</v>
      </c>
      <c r="V313" s="5" t="s">
        <v>21</v>
      </c>
      <c r="W313" s="5" t="s">
        <v>6003</v>
      </c>
      <c r="X313" s="5" t="s">
        <v>6004</v>
      </c>
      <c r="Y313" s="5" t="s">
        <v>6005</v>
      </c>
      <c r="Z313" s="5" t="s">
        <v>6006</v>
      </c>
      <c r="AA313" s="5" t="s">
        <v>6007</v>
      </c>
      <c r="AB313" s="5" t="s">
        <v>21</v>
      </c>
      <c r="AC313" s="5" t="s">
        <v>6008</v>
      </c>
      <c r="AD313" s="5" t="s">
        <v>6009</v>
      </c>
      <c r="AE313" s="5" t="s">
        <v>6010</v>
      </c>
      <c r="AF313" s="5">
        <v>40</v>
      </c>
      <c r="AG313" s="5">
        <v>1</v>
      </c>
      <c r="AH313" s="5">
        <v>1</v>
      </c>
      <c r="AI313" s="5">
        <v>8</v>
      </c>
      <c r="AJ313" s="5">
        <v>8</v>
      </c>
      <c r="AK313" s="5" t="s">
        <v>153</v>
      </c>
      <c r="AL313" s="5" t="s">
        <v>154</v>
      </c>
      <c r="AM313" s="5" t="s">
        <v>155</v>
      </c>
      <c r="AN313" s="5" t="s">
        <v>2342</v>
      </c>
      <c r="AO313" s="5" t="s">
        <v>21</v>
      </c>
      <c r="AP313" s="5" t="s">
        <v>21</v>
      </c>
      <c r="AQ313" s="5" t="s">
        <v>2343</v>
      </c>
      <c r="AR313" s="5" t="s">
        <v>2344</v>
      </c>
      <c r="AS313" s="5" t="s">
        <v>6011</v>
      </c>
      <c r="AT313" s="5">
        <v>2024</v>
      </c>
      <c r="AU313" s="5">
        <v>15</v>
      </c>
      <c r="AV313" s="5" t="s">
        <v>21</v>
      </c>
      <c r="AW313" s="5" t="s">
        <v>21</v>
      </c>
      <c r="AX313" s="5" t="s">
        <v>21</v>
      </c>
      <c r="AY313" s="5" t="s">
        <v>21</v>
      </c>
      <c r="AZ313" s="5" t="s">
        <v>21</v>
      </c>
      <c r="BA313" s="5" t="s">
        <v>21</v>
      </c>
      <c r="BB313" s="5" t="s">
        <v>21</v>
      </c>
      <c r="BC313" s="5">
        <v>1417717</v>
      </c>
      <c r="BD313" s="5" t="s">
        <v>6012</v>
      </c>
      <c r="BE313" s="5" t="str">
        <f>HYPERLINK("http://dx.doi.org/10.3389/fpsyg.2024.1417717","http://dx.doi.org/10.3389/fpsyg.2024.1417717")</f>
        <v>http://dx.doi.org/10.3389/fpsyg.2024.1417717</v>
      </c>
      <c r="BF313" s="5" t="s">
        <v>21</v>
      </c>
      <c r="BG313" s="5" t="s">
        <v>21</v>
      </c>
      <c r="BH313" s="5">
        <v>4</v>
      </c>
      <c r="BI313" s="5" t="s">
        <v>825</v>
      </c>
      <c r="BJ313" s="5" t="s">
        <v>45</v>
      </c>
      <c r="BK313" s="5" t="s">
        <v>46</v>
      </c>
      <c r="BL313" s="5" t="s">
        <v>6013</v>
      </c>
      <c r="BM313" s="5">
        <v>39691668</v>
      </c>
      <c r="BN313" s="5" t="s">
        <v>1909</v>
      </c>
      <c r="BO313" s="5" t="s">
        <v>21</v>
      </c>
      <c r="BP313" s="5" t="s">
        <v>21</v>
      </c>
      <c r="BQ313" s="5" t="s">
        <v>49</v>
      </c>
      <c r="BR313" s="5" t="s">
        <v>6014</v>
      </c>
      <c r="BS313" s="5" t="str">
        <f>HYPERLINK("https%3A%2F%2Fwww.webofscience.com%2Fwos%2Fwoscc%2Ffull-record%2FWOS:001385921700001","View Full Record in Web of Science")</f>
        <v>View Full Record in Web of Science</v>
      </c>
    </row>
    <row r="314" spans="1:71" x14ac:dyDescent="0.25">
      <c r="A314" t="s">
        <v>19</v>
      </c>
      <c r="B314" s="5" t="s">
        <v>6015</v>
      </c>
      <c r="C314" s="5" t="s">
        <v>21</v>
      </c>
      <c r="D314" s="5" t="s">
        <v>21</v>
      </c>
      <c r="E314" s="5" t="s">
        <v>21</v>
      </c>
      <c r="F314" s="5" t="s">
        <v>6016</v>
      </c>
      <c r="G314" s="5" t="s">
        <v>21</v>
      </c>
      <c r="H314" s="5" t="s">
        <v>21</v>
      </c>
      <c r="I314" s="5" t="s">
        <v>6017</v>
      </c>
      <c r="J314" s="12" t="s">
        <v>6018</v>
      </c>
      <c r="K314" s="5" t="s">
        <v>21</v>
      </c>
      <c r="L314" s="5" t="s">
        <v>21</v>
      </c>
      <c r="M314" s="5" t="s">
        <v>25</v>
      </c>
      <c r="N314" s="5" t="s">
        <v>26</v>
      </c>
      <c r="O314" s="5" t="s">
        <v>21</v>
      </c>
      <c r="P314" s="5" t="s">
        <v>21</v>
      </c>
      <c r="Q314" s="5" t="s">
        <v>21</v>
      </c>
      <c r="R314" s="5" t="s">
        <v>21</v>
      </c>
      <c r="S314" s="5" t="s">
        <v>21</v>
      </c>
      <c r="T314" s="5" t="s">
        <v>6019</v>
      </c>
      <c r="U314" s="5" t="s">
        <v>6020</v>
      </c>
      <c r="V314" s="5" t="s">
        <v>6021</v>
      </c>
      <c r="W314" s="5" t="s">
        <v>6022</v>
      </c>
      <c r="X314" s="5" t="s">
        <v>6023</v>
      </c>
      <c r="Y314" s="5" t="s">
        <v>6024</v>
      </c>
      <c r="Z314" s="5" t="s">
        <v>1692</v>
      </c>
      <c r="AA314" s="5" t="s">
        <v>6025</v>
      </c>
      <c r="AB314" s="5" t="s">
        <v>6026</v>
      </c>
      <c r="AC314" s="5" t="s">
        <v>6027</v>
      </c>
      <c r="AD314" s="5" t="s">
        <v>6028</v>
      </c>
      <c r="AE314" s="5" t="s">
        <v>6029</v>
      </c>
      <c r="AF314" s="5">
        <v>92</v>
      </c>
      <c r="AG314" s="5">
        <v>1</v>
      </c>
      <c r="AH314" s="5">
        <v>1</v>
      </c>
      <c r="AI314" s="5">
        <v>7</v>
      </c>
      <c r="AJ314" s="5">
        <v>7</v>
      </c>
      <c r="AK314" s="5" t="s">
        <v>6030</v>
      </c>
      <c r="AL314" s="5" t="s">
        <v>5583</v>
      </c>
      <c r="AM314" s="5" t="s">
        <v>6031</v>
      </c>
      <c r="AN314" s="5" t="s">
        <v>21</v>
      </c>
      <c r="AO314" s="5" t="s">
        <v>6032</v>
      </c>
      <c r="AP314" s="5" t="s">
        <v>21</v>
      </c>
      <c r="AQ314" s="5" t="s">
        <v>6033</v>
      </c>
      <c r="AR314" s="5" t="s">
        <v>6034</v>
      </c>
      <c r="AS314" s="5" t="s">
        <v>269</v>
      </c>
      <c r="AT314" s="5">
        <v>2024</v>
      </c>
      <c r="AU314" s="5">
        <v>42</v>
      </c>
      <c r="AV314" s="5" t="s">
        <v>21</v>
      </c>
      <c r="AW314" s="5" t="s">
        <v>21</v>
      </c>
      <c r="AX314" s="5" t="s">
        <v>21</v>
      </c>
      <c r="AY314" s="5" t="s">
        <v>21</v>
      </c>
      <c r="AZ314" s="5" t="s">
        <v>21</v>
      </c>
      <c r="BA314" s="5" t="s">
        <v>21</v>
      </c>
      <c r="BB314" s="5" t="s">
        <v>21</v>
      </c>
      <c r="BC314" s="5">
        <v>101384</v>
      </c>
      <c r="BD314" s="5" t="s">
        <v>6035</v>
      </c>
      <c r="BE314" s="5" t="str">
        <f>HYPERLINK("http://dx.doi.org/10.1016/j.conctc.2024.101384","http://dx.doi.org/10.1016/j.conctc.2024.101384")</f>
        <v>http://dx.doi.org/10.1016/j.conctc.2024.101384</v>
      </c>
      <c r="BF314" s="5" t="s">
        <v>21</v>
      </c>
      <c r="BG314" s="5" t="s">
        <v>21</v>
      </c>
      <c r="BH314" s="5">
        <v>10</v>
      </c>
      <c r="BI314" s="5" t="s">
        <v>3481</v>
      </c>
      <c r="BJ314" s="5" t="s">
        <v>1907</v>
      </c>
      <c r="BK314" s="5" t="s">
        <v>3482</v>
      </c>
      <c r="BL314" s="5" t="s">
        <v>6036</v>
      </c>
      <c r="BM314" s="5">
        <v>39525564</v>
      </c>
      <c r="BN314" s="5" t="s">
        <v>864</v>
      </c>
      <c r="BO314" s="5" t="s">
        <v>21</v>
      </c>
      <c r="BP314" s="5" t="s">
        <v>21</v>
      </c>
      <c r="BQ314" s="5" t="s">
        <v>49</v>
      </c>
      <c r="BR314" s="5" t="s">
        <v>6037</v>
      </c>
      <c r="BS314" s="5" t="str">
        <f>HYPERLINK("https%3A%2F%2Fwww.webofscience.com%2Fwos%2Fwoscc%2Ffull-record%2FWOS:001346454100001","View Full Record in Web of Science")</f>
        <v>View Full Record in Web of Science</v>
      </c>
    </row>
    <row r="315" spans="1:71" x14ac:dyDescent="0.25">
      <c r="A315" t="s">
        <v>19</v>
      </c>
      <c r="B315" s="5" t="s">
        <v>6038</v>
      </c>
      <c r="C315" s="5" t="s">
        <v>21</v>
      </c>
      <c r="D315" s="5" t="s">
        <v>21</v>
      </c>
      <c r="E315" s="5" t="s">
        <v>21</v>
      </c>
      <c r="F315" s="5" t="s">
        <v>6039</v>
      </c>
      <c r="G315" s="5" t="s">
        <v>21</v>
      </c>
      <c r="H315" s="5" t="s">
        <v>21</v>
      </c>
      <c r="I315" s="5" t="s">
        <v>6040</v>
      </c>
      <c r="J315" s="12" t="s">
        <v>6041</v>
      </c>
      <c r="K315" s="5" t="s">
        <v>21</v>
      </c>
      <c r="L315" s="5" t="s">
        <v>21</v>
      </c>
      <c r="M315" s="5" t="s">
        <v>25</v>
      </c>
      <c r="N315" s="5" t="s">
        <v>2836</v>
      </c>
      <c r="O315" s="5" t="s">
        <v>21</v>
      </c>
      <c r="P315" s="5" t="s">
        <v>21</v>
      </c>
      <c r="Q315" s="5" t="s">
        <v>21</v>
      </c>
      <c r="R315" s="5" t="s">
        <v>21</v>
      </c>
      <c r="S315" s="5" t="s">
        <v>21</v>
      </c>
      <c r="T315" s="5" t="s">
        <v>6042</v>
      </c>
      <c r="U315" s="5" t="s">
        <v>21</v>
      </c>
      <c r="V315" s="5" t="s">
        <v>6043</v>
      </c>
      <c r="W315" s="5" t="s">
        <v>6044</v>
      </c>
      <c r="X315" s="5" t="s">
        <v>6045</v>
      </c>
      <c r="Y315" s="5" t="s">
        <v>6046</v>
      </c>
      <c r="Z315" s="5" t="s">
        <v>6047</v>
      </c>
      <c r="AA315" s="5" t="s">
        <v>6048</v>
      </c>
      <c r="AB315" s="5" t="s">
        <v>6049</v>
      </c>
      <c r="AC315" s="5" t="s">
        <v>21</v>
      </c>
      <c r="AD315" s="5" t="s">
        <v>21</v>
      </c>
      <c r="AE315" s="5" t="s">
        <v>21</v>
      </c>
      <c r="AF315" s="5">
        <v>25</v>
      </c>
      <c r="AG315" s="5">
        <v>1</v>
      </c>
      <c r="AH315" s="5">
        <v>1</v>
      </c>
      <c r="AI315" s="5">
        <v>12</v>
      </c>
      <c r="AJ315" s="5">
        <v>12</v>
      </c>
      <c r="AK315" s="5" t="s">
        <v>6050</v>
      </c>
      <c r="AL315" s="5" t="s">
        <v>6051</v>
      </c>
      <c r="AM315" s="5" t="s">
        <v>6052</v>
      </c>
      <c r="AN315" s="5" t="s">
        <v>6053</v>
      </c>
      <c r="AO315" s="5" t="s">
        <v>6054</v>
      </c>
      <c r="AP315" s="5" t="s">
        <v>21</v>
      </c>
      <c r="AQ315" s="5" t="s">
        <v>6055</v>
      </c>
      <c r="AR315" s="5" t="s">
        <v>6056</v>
      </c>
      <c r="AS315" s="5" t="s">
        <v>6057</v>
      </c>
      <c r="AT315" s="5">
        <v>2024</v>
      </c>
      <c r="AU315" s="5" t="s">
        <v>21</v>
      </c>
      <c r="AV315" s="5" t="s">
        <v>21</v>
      </c>
      <c r="AW315" s="5" t="s">
        <v>21</v>
      </c>
      <c r="AX315" s="5" t="s">
        <v>21</v>
      </c>
      <c r="AY315" s="5" t="s">
        <v>21</v>
      </c>
      <c r="AZ315" s="5" t="s">
        <v>21</v>
      </c>
      <c r="BA315" s="5" t="s">
        <v>21</v>
      </c>
      <c r="BB315" s="5" t="s">
        <v>21</v>
      </c>
      <c r="BC315" s="5" t="s">
        <v>21</v>
      </c>
      <c r="BD315" s="5" t="s">
        <v>6058</v>
      </c>
      <c r="BE315" s="5" t="str">
        <f>HYPERLINK("http://dx.doi.org/10.1007/s13198-024-02578-3","http://dx.doi.org/10.1007/s13198-024-02578-3")</f>
        <v>http://dx.doi.org/10.1007/s13198-024-02578-3</v>
      </c>
      <c r="BF315" s="5" t="s">
        <v>21</v>
      </c>
      <c r="BG315" s="5" t="s">
        <v>6059</v>
      </c>
      <c r="BH315" s="5">
        <v>11</v>
      </c>
      <c r="BI315" s="5" t="s">
        <v>5973</v>
      </c>
      <c r="BJ315" s="5" t="s">
        <v>1907</v>
      </c>
      <c r="BK315" s="5" t="s">
        <v>934</v>
      </c>
      <c r="BL315" s="5" t="s">
        <v>6060</v>
      </c>
      <c r="BM315" s="5" t="s">
        <v>21</v>
      </c>
      <c r="BN315" s="5" t="s">
        <v>21</v>
      </c>
      <c r="BO315" s="5" t="s">
        <v>21</v>
      </c>
      <c r="BP315" s="5" t="s">
        <v>21</v>
      </c>
      <c r="BQ315" s="5" t="s">
        <v>49</v>
      </c>
      <c r="BR315" s="5" t="s">
        <v>6061</v>
      </c>
      <c r="BS315" s="5" t="str">
        <f>HYPERLINK("https%3A%2F%2Fwww.webofscience.com%2Fwos%2Fwoscc%2Ffull-record%2FWOS:001349868900003","View Full Record in Web of Science")</f>
        <v>View Full Record in Web of Science</v>
      </c>
    </row>
    <row r="316" spans="1:71" x14ac:dyDescent="0.25">
      <c r="A316" t="s">
        <v>19</v>
      </c>
      <c r="B316" s="5" t="s">
        <v>6062</v>
      </c>
      <c r="C316" s="5" t="s">
        <v>21</v>
      </c>
      <c r="D316" s="5" t="s">
        <v>21</v>
      </c>
      <c r="E316" s="5" t="s">
        <v>21</v>
      </c>
      <c r="F316" s="5" t="s">
        <v>6063</v>
      </c>
      <c r="G316" s="5" t="s">
        <v>21</v>
      </c>
      <c r="H316" s="5" t="s">
        <v>21</v>
      </c>
      <c r="I316" s="5" t="s">
        <v>6064</v>
      </c>
      <c r="J316" s="12" t="s">
        <v>1587</v>
      </c>
      <c r="K316" s="5" t="s">
        <v>21</v>
      </c>
      <c r="L316" s="5" t="s">
        <v>21</v>
      </c>
      <c r="M316" s="5" t="s">
        <v>25</v>
      </c>
      <c r="N316" s="5" t="s">
        <v>76</v>
      </c>
      <c r="O316" s="5" t="s">
        <v>21</v>
      </c>
      <c r="P316" s="5" t="s">
        <v>21</v>
      </c>
      <c r="Q316" s="5" t="s">
        <v>21</v>
      </c>
      <c r="R316" s="5" t="s">
        <v>21</v>
      </c>
      <c r="S316" s="5" t="s">
        <v>21</v>
      </c>
      <c r="T316" s="5" t="s">
        <v>6065</v>
      </c>
      <c r="U316" s="5" t="s">
        <v>6066</v>
      </c>
      <c r="V316" s="5" t="s">
        <v>6067</v>
      </c>
      <c r="W316" s="5" t="s">
        <v>6068</v>
      </c>
      <c r="X316" s="5" t="s">
        <v>6069</v>
      </c>
      <c r="Y316" s="5" t="s">
        <v>6070</v>
      </c>
      <c r="Z316" s="5" t="s">
        <v>6071</v>
      </c>
      <c r="AA316" s="5" t="s">
        <v>6072</v>
      </c>
      <c r="AB316" s="5" t="s">
        <v>6073</v>
      </c>
      <c r="AC316" s="5" t="s">
        <v>6074</v>
      </c>
      <c r="AD316" s="5" t="s">
        <v>6075</v>
      </c>
      <c r="AE316" s="5" t="s">
        <v>6076</v>
      </c>
      <c r="AF316" s="5">
        <v>85</v>
      </c>
      <c r="AG316" s="5">
        <v>1</v>
      </c>
      <c r="AH316" s="5">
        <v>1</v>
      </c>
      <c r="AI316" s="5">
        <v>22</v>
      </c>
      <c r="AJ316" s="5">
        <v>22</v>
      </c>
      <c r="AK316" s="5" t="s">
        <v>193</v>
      </c>
      <c r="AL316" s="5" t="s">
        <v>194</v>
      </c>
      <c r="AM316" s="5" t="s">
        <v>195</v>
      </c>
      <c r="AN316" s="5" t="s">
        <v>21</v>
      </c>
      <c r="AO316" s="5" t="s">
        <v>1599</v>
      </c>
      <c r="AP316" s="5" t="s">
        <v>21</v>
      </c>
      <c r="AQ316" s="5" t="s">
        <v>1600</v>
      </c>
      <c r="AR316" s="5" t="s">
        <v>1601</v>
      </c>
      <c r="AS316" s="5" t="s">
        <v>543</v>
      </c>
      <c r="AT316" s="5">
        <v>2024</v>
      </c>
      <c r="AU316" s="5">
        <v>13</v>
      </c>
      <c r="AV316" s="5">
        <v>21</v>
      </c>
      <c r="AW316" s="5" t="s">
        <v>21</v>
      </c>
      <c r="AX316" s="5" t="s">
        <v>21</v>
      </c>
      <c r="AY316" s="5" t="s">
        <v>21</v>
      </c>
      <c r="AZ316" s="5" t="s">
        <v>21</v>
      </c>
      <c r="BA316" s="5" t="s">
        <v>21</v>
      </c>
      <c r="BB316" s="5" t="s">
        <v>21</v>
      </c>
      <c r="BC316" s="5">
        <v>6435</v>
      </c>
      <c r="BD316" s="5" t="s">
        <v>6077</v>
      </c>
      <c r="BE316" s="5" t="str">
        <f>HYPERLINK("http://dx.doi.org/10.3390/jcm13216435","http://dx.doi.org/10.3390/jcm13216435")</f>
        <v>http://dx.doi.org/10.3390/jcm13216435</v>
      </c>
      <c r="BF316" s="5" t="s">
        <v>21</v>
      </c>
      <c r="BG316" s="5" t="s">
        <v>21</v>
      </c>
      <c r="BH316" s="5">
        <v>20</v>
      </c>
      <c r="BI316" s="5" t="s">
        <v>1603</v>
      </c>
      <c r="BJ316" s="5" t="s">
        <v>524</v>
      </c>
      <c r="BK316" s="5" t="s">
        <v>1604</v>
      </c>
      <c r="BL316" s="5" t="s">
        <v>6078</v>
      </c>
      <c r="BM316" s="5">
        <v>39518573</v>
      </c>
      <c r="BN316" s="5" t="s">
        <v>1909</v>
      </c>
      <c r="BO316" s="5" t="s">
        <v>21</v>
      </c>
      <c r="BP316" s="5" t="s">
        <v>21</v>
      </c>
      <c r="BQ316" s="5" t="s">
        <v>49</v>
      </c>
      <c r="BR316" s="5" t="s">
        <v>6079</v>
      </c>
      <c r="BS316" s="5" t="str">
        <f>HYPERLINK("https%3A%2F%2Fwww.webofscience.com%2Fwos%2Fwoscc%2Ffull-record%2FWOS:001351412200001","View Full Record in Web of Science")</f>
        <v>View Full Record in Web of Science</v>
      </c>
    </row>
    <row r="317" spans="1:71" x14ac:dyDescent="0.25">
      <c r="A317" t="s">
        <v>19</v>
      </c>
      <c r="B317" s="5" t="s">
        <v>6080</v>
      </c>
      <c r="C317" s="5" t="s">
        <v>21</v>
      </c>
      <c r="D317" s="5" t="s">
        <v>21</v>
      </c>
      <c r="E317" s="5" t="s">
        <v>21</v>
      </c>
      <c r="F317" s="5" t="s">
        <v>6081</v>
      </c>
      <c r="G317" s="5" t="s">
        <v>21</v>
      </c>
      <c r="H317" s="5" t="s">
        <v>21</v>
      </c>
      <c r="I317" s="5" t="s">
        <v>6082</v>
      </c>
      <c r="J317" s="12" t="s">
        <v>1403</v>
      </c>
      <c r="K317" s="5" t="s">
        <v>21</v>
      </c>
      <c r="L317" s="5" t="s">
        <v>21</v>
      </c>
      <c r="M317" s="5" t="s">
        <v>25</v>
      </c>
      <c r="N317" s="5" t="s">
        <v>26</v>
      </c>
      <c r="O317" s="5" t="s">
        <v>21</v>
      </c>
      <c r="P317" s="5" t="s">
        <v>21</v>
      </c>
      <c r="Q317" s="5" t="s">
        <v>21</v>
      </c>
      <c r="R317" s="5" t="s">
        <v>21</v>
      </c>
      <c r="S317" s="5" t="s">
        <v>21</v>
      </c>
      <c r="T317" s="5" t="s">
        <v>6083</v>
      </c>
      <c r="U317" s="5" t="s">
        <v>6084</v>
      </c>
      <c r="V317" s="5" t="s">
        <v>6085</v>
      </c>
      <c r="W317" s="5" t="s">
        <v>6086</v>
      </c>
      <c r="X317" s="5" t="s">
        <v>6087</v>
      </c>
      <c r="Y317" s="5" t="s">
        <v>6088</v>
      </c>
      <c r="Z317" s="5" t="s">
        <v>6089</v>
      </c>
      <c r="AA317" s="5" t="s">
        <v>6090</v>
      </c>
      <c r="AB317" s="5" t="s">
        <v>6091</v>
      </c>
      <c r="AC317" s="5" t="s">
        <v>6092</v>
      </c>
      <c r="AD317" s="5" t="s">
        <v>6093</v>
      </c>
      <c r="AE317" s="5" t="s">
        <v>6094</v>
      </c>
      <c r="AF317" s="5">
        <v>60</v>
      </c>
      <c r="AG317" s="5">
        <v>1</v>
      </c>
      <c r="AH317" s="5">
        <v>1</v>
      </c>
      <c r="AI317" s="5">
        <v>3</v>
      </c>
      <c r="AJ317" s="5">
        <v>3</v>
      </c>
      <c r="AK317" s="5" t="s">
        <v>193</v>
      </c>
      <c r="AL317" s="5" t="s">
        <v>194</v>
      </c>
      <c r="AM317" s="5" t="s">
        <v>195</v>
      </c>
      <c r="AN317" s="5" t="s">
        <v>21</v>
      </c>
      <c r="AO317" s="5" t="s">
        <v>1414</v>
      </c>
      <c r="AP317" s="5" t="s">
        <v>21</v>
      </c>
      <c r="AQ317" s="5" t="s">
        <v>1403</v>
      </c>
      <c r="AR317" s="5" t="s">
        <v>1415</v>
      </c>
      <c r="AS317" s="5" t="s">
        <v>543</v>
      </c>
      <c r="AT317" s="5">
        <v>2024</v>
      </c>
      <c r="AU317" s="5">
        <v>11</v>
      </c>
      <c r="AV317" s="5">
        <v>11</v>
      </c>
      <c r="AW317" s="5" t="s">
        <v>21</v>
      </c>
      <c r="AX317" s="5" t="s">
        <v>21</v>
      </c>
      <c r="AY317" s="5" t="s">
        <v>21</v>
      </c>
      <c r="AZ317" s="5" t="s">
        <v>21</v>
      </c>
      <c r="BA317" s="5" t="s">
        <v>21</v>
      </c>
      <c r="BB317" s="5" t="s">
        <v>21</v>
      </c>
      <c r="BC317" s="5">
        <v>1291</v>
      </c>
      <c r="BD317" s="5" t="s">
        <v>6095</v>
      </c>
      <c r="BE317" s="5" t="str">
        <f>HYPERLINK("http://dx.doi.org/10.3390/children11111291","http://dx.doi.org/10.3390/children11111291")</f>
        <v>http://dx.doi.org/10.3390/children11111291</v>
      </c>
      <c r="BF317" s="5" t="s">
        <v>21</v>
      </c>
      <c r="BG317" s="5" t="s">
        <v>21</v>
      </c>
      <c r="BH317" s="5">
        <v>12</v>
      </c>
      <c r="BI317" s="5" t="s">
        <v>1417</v>
      </c>
      <c r="BJ317" s="5" t="s">
        <v>524</v>
      </c>
      <c r="BK317" s="5" t="s">
        <v>1417</v>
      </c>
      <c r="BL317" s="5" t="s">
        <v>6096</v>
      </c>
      <c r="BM317" s="5">
        <v>39594866</v>
      </c>
      <c r="BN317" s="5" t="s">
        <v>1909</v>
      </c>
      <c r="BO317" s="5" t="s">
        <v>21</v>
      </c>
      <c r="BP317" s="5" t="s">
        <v>21</v>
      </c>
      <c r="BQ317" s="5" t="s">
        <v>49</v>
      </c>
      <c r="BR317" s="5" t="s">
        <v>6097</v>
      </c>
      <c r="BS317" s="5" t="str">
        <f>HYPERLINK("https%3A%2F%2Fwww.webofscience.com%2Fwos%2Fwoscc%2Ffull-record%2FWOS:001364849400001","View Full Record in Web of Science")</f>
        <v>View Full Record in Web of Science</v>
      </c>
    </row>
    <row r="318" spans="1:71" x14ac:dyDescent="0.25">
      <c r="A318" t="s">
        <v>19</v>
      </c>
      <c r="B318" s="5" t="s">
        <v>6098</v>
      </c>
      <c r="C318" s="5" t="s">
        <v>21</v>
      </c>
      <c r="D318" s="5" t="s">
        <v>21</v>
      </c>
      <c r="E318" s="5" t="s">
        <v>21</v>
      </c>
      <c r="F318" s="5" t="s">
        <v>6099</v>
      </c>
      <c r="G318" s="5" t="s">
        <v>21</v>
      </c>
      <c r="H318" s="5" t="s">
        <v>21</v>
      </c>
      <c r="I318" s="5" t="s">
        <v>6100</v>
      </c>
      <c r="J318" s="12" t="s">
        <v>414</v>
      </c>
      <c r="K318" s="5" t="s">
        <v>21</v>
      </c>
      <c r="L318" s="5" t="s">
        <v>21</v>
      </c>
      <c r="M318" s="5" t="s">
        <v>25</v>
      </c>
      <c r="N318" s="5" t="s">
        <v>26</v>
      </c>
      <c r="O318" s="5" t="s">
        <v>21</v>
      </c>
      <c r="P318" s="5" t="s">
        <v>21</v>
      </c>
      <c r="Q318" s="5" t="s">
        <v>21</v>
      </c>
      <c r="R318" s="5" t="s">
        <v>21</v>
      </c>
      <c r="S318" s="5" t="s">
        <v>21</v>
      </c>
      <c r="T318" s="5" t="s">
        <v>6101</v>
      </c>
      <c r="U318" s="5" t="s">
        <v>6102</v>
      </c>
      <c r="V318" s="5" t="s">
        <v>6103</v>
      </c>
      <c r="W318" s="5" t="s">
        <v>6104</v>
      </c>
      <c r="X318" s="5" t="s">
        <v>1941</v>
      </c>
      <c r="Y318" s="5" t="s">
        <v>5378</v>
      </c>
      <c r="Z318" s="5" t="s">
        <v>6105</v>
      </c>
      <c r="AA318" s="5" t="s">
        <v>6106</v>
      </c>
      <c r="AB318" s="5" t="s">
        <v>21</v>
      </c>
      <c r="AC318" s="5" t="s">
        <v>5566</v>
      </c>
      <c r="AD318" s="5" t="s">
        <v>1646</v>
      </c>
      <c r="AE318" s="5" t="s">
        <v>6107</v>
      </c>
      <c r="AF318" s="5">
        <v>119</v>
      </c>
      <c r="AG318" s="5">
        <v>1</v>
      </c>
      <c r="AH318" s="5">
        <v>1</v>
      </c>
      <c r="AI318" s="5">
        <v>2</v>
      </c>
      <c r="AJ318" s="5">
        <v>2</v>
      </c>
      <c r="AK318" s="5" t="s">
        <v>424</v>
      </c>
      <c r="AL318" s="5" t="s">
        <v>425</v>
      </c>
      <c r="AM318" s="5" t="s">
        <v>426</v>
      </c>
      <c r="AN318" s="5" t="s">
        <v>427</v>
      </c>
      <c r="AO318" s="5" t="s">
        <v>428</v>
      </c>
      <c r="AP318" s="5" t="s">
        <v>21</v>
      </c>
      <c r="AQ318" s="5" t="s">
        <v>429</v>
      </c>
      <c r="AR318" s="5" t="s">
        <v>430</v>
      </c>
      <c r="AS318" s="5" t="s">
        <v>134</v>
      </c>
      <c r="AT318" s="5">
        <v>2024</v>
      </c>
      <c r="AU318" s="5">
        <v>118</v>
      </c>
      <c r="AV318" s="5" t="s">
        <v>21</v>
      </c>
      <c r="AW318" s="5" t="s">
        <v>21</v>
      </c>
      <c r="AX318" s="5" t="s">
        <v>21</v>
      </c>
      <c r="AY318" s="5" t="s">
        <v>21</v>
      </c>
      <c r="AZ318" s="5" t="s">
        <v>21</v>
      </c>
      <c r="BA318" s="5" t="s">
        <v>21</v>
      </c>
      <c r="BB318" s="5" t="s">
        <v>21</v>
      </c>
      <c r="BC318" s="5">
        <v>102494</v>
      </c>
      <c r="BD318" s="5" t="s">
        <v>6108</v>
      </c>
      <c r="BE318" s="5" t="str">
        <f>HYPERLINK("http://dx.doi.org/10.1016/j.rasd.2024.102494","http://dx.doi.org/10.1016/j.rasd.2024.102494")</f>
        <v>http://dx.doi.org/10.1016/j.rasd.2024.102494</v>
      </c>
      <c r="BF318" s="5" t="s">
        <v>21</v>
      </c>
      <c r="BG318" s="5" t="s">
        <v>6109</v>
      </c>
      <c r="BH318" s="5">
        <v>13</v>
      </c>
      <c r="BI318" s="5" t="s">
        <v>433</v>
      </c>
      <c r="BJ318" s="5" t="s">
        <v>45</v>
      </c>
      <c r="BK318" s="5" t="s">
        <v>434</v>
      </c>
      <c r="BL318" s="5" t="s">
        <v>6110</v>
      </c>
      <c r="BM318" s="5" t="s">
        <v>21</v>
      </c>
      <c r="BN318" s="5" t="s">
        <v>21</v>
      </c>
      <c r="BO318" s="5" t="s">
        <v>21</v>
      </c>
      <c r="BP318" s="5" t="s">
        <v>21</v>
      </c>
      <c r="BQ318" s="5" t="s">
        <v>49</v>
      </c>
      <c r="BR318" s="5" t="s">
        <v>6111</v>
      </c>
      <c r="BS318" s="5" t="str">
        <f>HYPERLINK("https%3A%2F%2Fwww.webofscience.com%2Fwos%2Fwoscc%2Ffull-record%2FWOS:001343753900001","View Full Record in Web of Science")</f>
        <v>View Full Record in Web of Science</v>
      </c>
    </row>
    <row r="319" spans="1:71" x14ac:dyDescent="0.25">
      <c r="A319" t="s">
        <v>19</v>
      </c>
      <c r="B319" s="5" t="s">
        <v>6112</v>
      </c>
      <c r="C319" s="5" t="s">
        <v>21</v>
      </c>
      <c r="D319" s="5" t="s">
        <v>21</v>
      </c>
      <c r="E319" s="5" t="s">
        <v>21</v>
      </c>
      <c r="F319" s="5" t="s">
        <v>6113</v>
      </c>
      <c r="G319" s="5" t="s">
        <v>21</v>
      </c>
      <c r="H319" s="5" t="s">
        <v>21</v>
      </c>
      <c r="I319" s="5" t="s">
        <v>6114</v>
      </c>
      <c r="J319" s="12" t="s">
        <v>2693</v>
      </c>
      <c r="K319" s="5" t="s">
        <v>21</v>
      </c>
      <c r="L319" s="5" t="s">
        <v>21</v>
      </c>
      <c r="M319" s="5" t="s">
        <v>25</v>
      </c>
      <c r="N319" s="5" t="s">
        <v>5105</v>
      </c>
      <c r="O319" s="5" t="s">
        <v>21</v>
      </c>
      <c r="P319" s="5" t="s">
        <v>21</v>
      </c>
      <c r="Q319" s="5" t="s">
        <v>21</v>
      </c>
      <c r="R319" s="5" t="s">
        <v>21</v>
      </c>
      <c r="S319" s="5" t="s">
        <v>21</v>
      </c>
      <c r="T319" s="5" t="s">
        <v>6115</v>
      </c>
      <c r="U319" s="5" t="s">
        <v>6116</v>
      </c>
      <c r="V319" s="5" t="s">
        <v>6117</v>
      </c>
      <c r="W319" s="5" t="s">
        <v>6118</v>
      </c>
      <c r="X319" s="5" t="s">
        <v>6119</v>
      </c>
      <c r="Y319" s="5" t="s">
        <v>6120</v>
      </c>
      <c r="Z319" s="5" t="s">
        <v>6121</v>
      </c>
      <c r="AA319" s="5" t="s">
        <v>4322</v>
      </c>
      <c r="AB319" s="5" t="s">
        <v>6122</v>
      </c>
      <c r="AC319" s="5" t="s">
        <v>6123</v>
      </c>
      <c r="AD319" s="5" t="s">
        <v>6124</v>
      </c>
      <c r="AE319" s="5" t="s">
        <v>6125</v>
      </c>
      <c r="AF319" s="5">
        <v>61</v>
      </c>
      <c r="AG319" s="5">
        <v>1</v>
      </c>
      <c r="AH319" s="5">
        <v>1</v>
      </c>
      <c r="AI319" s="5">
        <v>6</v>
      </c>
      <c r="AJ319" s="5">
        <v>9</v>
      </c>
      <c r="AK319" s="5" t="s">
        <v>2706</v>
      </c>
      <c r="AL319" s="5" t="s">
        <v>494</v>
      </c>
      <c r="AM319" s="5" t="s">
        <v>2707</v>
      </c>
      <c r="AN319" s="5" t="s">
        <v>2708</v>
      </c>
      <c r="AO319" s="5" t="s">
        <v>2709</v>
      </c>
      <c r="AP319" s="5" t="s">
        <v>21</v>
      </c>
      <c r="AQ319" s="5" t="s">
        <v>2710</v>
      </c>
      <c r="AR319" s="5" t="s">
        <v>2711</v>
      </c>
      <c r="AS319" s="5" t="s">
        <v>6126</v>
      </c>
      <c r="AT319" s="5">
        <v>2024</v>
      </c>
      <c r="AU319" s="5" t="s">
        <v>21</v>
      </c>
      <c r="AV319" s="5" t="s">
        <v>21</v>
      </c>
      <c r="AW319" s="5" t="s">
        <v>21</v>
      </c>
      <c r="AX319" s="5" t="s">
        <v>21</v>
      </c>
      <c r="AY319" s="5" t="s">
        <v>21</v>
      </c>
      <c r="AZ319" s="5" t="s">
        <v>21</v>
      </c>
      <c r="BA319" s="5" t="s">
        <v>21</v>
      </c>
      <c r="BB319" s="5" t="s">
        <v>21</v>
      </c>
      <c r="BC319" s="5" t="s">
        <v>21</v>
      </c>
      <c r="BD319" s="5" t="s">
        <v>6127</v>
      </c>
      <c r="BE319" s="5" t="str">
        <f>HYPERLINK("http://dx.doi.org/10.1080/20473869.2024.2410535","http://dx.doi.org/10.1080/20473869.2024.2410535")</f>
        <v>http://dx.doi.org/10.1080/20473869.2024.2410535</v>
      </c>
      <c r="BF319" s="5" t="s">
        <v>21</v>
      </c>
      <c r="BG319" s="5" t="s">
        <v>4257</v>
      </c>
      <c r="BH319" s="5">
        <v>16</v>
      </c>
      <c r="BI319" s="5" t="s">
        <v>887</v>
      </c>
      <c r="BJ319" s="5" t="s">
        <v>45</v>
      </c>
      <c r="BK319" s="5" t="s">
        <v>888</v>
      </c>
      <c r="BL319" s="5" t="s">
        <v>6128</v>
      </c>
      <c r="BM319" s="5" t="s">
        <v>21</v>
      </c>
      <c r="BN319" s="5" t="s">
        <v>21</v>
      </c>
      <c r="BO319" s="5" t="s">
        <v>21</v>
      </c>
      <c r="BP319" s="5" t="s">
        <v>21</v>
      </c>
      <c r="BQ319" s="5" t="s">
        <v>49</v>
      </c>
      <c r="BR319" s="5" t="s">
        <v>6129</v>
      </c>
      <c r="BS319" s="5" t="str">
        <f>HYPERLINK("https%3A%2F%2Fwww.webofscience.com%2Fwos%2Fwoscc%2Ffull-record%2FWOS:001324098000001","View Full Record in Web of Science")</f>
        <v>View Full Record in Web of Science</v>
      </c>
    </row>
    <row r="320" spans="1:71" x14ac:dyDescent="0.25">
      <c r="A320" t="s">
        <v>19</v>
      </c>
      <c r="B320" s="5" t="s">
        <v>6130</v>
      </c>
      <c r="C320" s="5" t="s">
        <v>21</v>
      </c>
      <c r="D320" s="5" t="s">
        <v>21</v>
      </c>
      <c r="E320" s="5" t="s">
        <v>21</v>
      </c>
      <c r="F320" s="5" t="s">
        <v>6131</v>
      </c>
      <c r="G320" s="5" t="s">
        <v>21</v>
      </c>
      <c r="H320" s="5" t="s">
        <v>21</v>
      </c>
      <c r="I320" s="5" t="s">
        <v>6132</v>
      </c>
      <c r="J320" s="12" t="s">
        <v>2010</v>
      </c>
      <c r="K320" s="5" t="s">
        <v>21</v>
      </c>
      <c r="L320" s="5" t="s">
        <v>21</v>
      </c>
      <c r="M320" s="5" t="s">
        <v>25</v>
      </c>
      <c r="N320" s="5" t="s">
        <v>26</v>
      </c>
      <c r="O320" s="5" t="s">
        <v>21</v>
      </c>
      <c r="P320" s="5" t="s">
        <v>21</v>
      </c>
      <c r="Q320" s="5" t="s">
        <v>21</v>
      </c>
      <c r="R320" s="5" t="s">
        <v>21</v>
      </c>
      <c r="S320" s="5" t="s">
        <v>21</v>
      </c>
      <c r="T320" s="5" t="s">
        <v>6133</v>
      </c>
      <c r="U320" s="5" t="s">
        <v>6134</v>
      </c>
      <c r="V320" s="5" t="s">
        <v>6135</v>
      </c>
      <c r="W320" s="5" t="s">
        <v>6136</v>
      </c>
      <c r="X320" s="5" t="s">
        <v>6137</v>
      </c>
      <c r="Y320" s="5" t="s">
        <v>6138</v>
      </c>
      <c r="Z320" s="5" t="s">
        <v>6139</v>
      </c>
      <c r="AA320" s="5" t="s">
        <v>6140</v>
      </c>
      <c r="AB320" s="5" t="s">
        <v>6141</v>
      </c>
      <c r="AC320" s="5" t="s">
        <v>6142</v>
      </c>
      <c r="AD320" s="5" t="s">
        <v>6143</v>
      </c>
      <c r="AE320" s="5" t="s">
        <v>6144</v>
      </c>
      <c r="AF320" s="5">
        <v>51</v>
      </c>
      <c r="AG320" s="5">
        <v>1</v>
      </c>
      <c r="AH320" s="5">
        <v>1</v>
      </c>
      <c r="AI320" s="5">
        <v>8</v>
      </c>
      <c r="AJ320" s="5">
        <v>11</v>
      </c>
      <c r="AK320" s="5" t="s">
        <v>904</v>
      </c>
      <c r="AL320" s="5" t="s">
        <v>36</v>
      </c>
      <c r="AM320" s="5" t="s">
        <v>905</v>
      </c>
      <c r="AN320" s="5" t="s">
        <v>2018</v>
      </c>
      <c r="AO320" s="5" t="s">
        <v>2019</v>
      </c>
      <c r="AP320" s="5" t="s">
        <v>21</v>
      </c>
      <c r="AQ320" s="5" t="s">
        <v>2020</v>
      </c>
      <c r="AR320" s="5" t="s">
        <v>2021</v>
      </c>
      <c r="AS320" s="5" t="s">
        <v>334</v>
      </c>
      <c r="AT320" s="5">
        <v>2025</v>
      </c>
      <c r="AU320" s="5">
        <v>73</v>
      </c>
      <c r="AV320" s="5">
        <v>1</v>
      </c>
      <c r="AW320" s="5" t="s">
        <v>21</v>
      </c>
      <c r="AX320" s="5" t="s">
        <v>21</v>
      </c>
      <c r="AY320" s="5" t="s">
        <v>21</v>
      </c>
      <c r="AZ320" s="5" t="s">
        <v>21</v>
      </c>
      <c r="BA320" s="5">
        <v>541</v>
      </c>
      <c r="BB320" s="5">
        <v>565</v>
      </c>
      <c r="BC320" s="5" t="s">
        <v>21</v>
      </c>
      <c r="BD320" s="5" t="s">
        <v>6145</v>
      </c>
      <c r="BE320" s="5" t="str">
        <f>HYPERLINK("http://dx.doi.org/10.1007/s11423-024-10422-5","http://dx.doi.org/10.1007/s11423-024-10422-5")</f>
        <v>http://dx.doi.org/10.1007/s11423-024-10422-5</v>
      </c>
      <c r="BF320" s="5" t="s">
        <v>21</v>
      </c>
      <c r="BG320" s="5" t="s">
        <v>4257</v>
      </c>
      <c r="BH320" s="5">
        <v>25</v>
      </c>
      <c r="BI320" s="5" t="s">
        <v>503</v>
      </c>
      <c r="BJ320" s="5" t="s">
        <v>45</v>
      </c>
      <c r="BK320" s="5" t="s">
        <v>503</v>
      </c>
      <c r="BL320" s="5" t="s">
        <v>6146</v>
      </c>
      <c r="BM320" s="5" t="s">
        <v>21</v>
      </c>
      <c r="BN320" s="5" t="s">
        <v>120</v>
      </c>
      <c r="BO320" s="5" t="s">
        <v>21</v>
      </c>
      <c r="BP320" s="5" t="s">
        <v>21</v>
      </c>
      <c r="BQ320" s="5" t="s">
        <v>49</v>
      </c>
      <c r="BR320" s="5" t="s">
        <v>6147</v>
      </c>
      <c r="BS320" s="5" t="str">
        <f>HYPERLINK("https%3A%2F%2Fwww.webofscience.com%2Fwos%2Fwoscc%2Ffull-record%2FWOS:001324518800001","View Full Record in Web of Science")</f>
        <v>View Full Record in Web of Science</v>
      </c>
    </row>
    <row r="321" spans="1:71" x14ac:dyDescent="0.25">
      <c r="A321" t="s">
        <v>19</v>
      </c>
      <c r="B321" s="5" t="s">
        <v>6148</v>
      </c>
      <c r="C321" s="5" t="s">
        <v>21</v>
      </c>
      <c r="D321" s="5" t="s">
        <v>21</v>
      </c>
      <c r="E321" s="5" t="s">
        <v>21</v>
      </c>
      <c r="F321" s="5" t="s">
        <v>6149</v>
      </c>
      <c r="G321" s="5" t="s">
        <v>21</v>
      </c>
      <c r="H321" s="5" t="s">
        <v>21</v>
      </c>
      <c r="I321" s="5" t="s">
        <v>6150</v>
      </c>
      <c r="J321" s="12" t="s">
        <v>1443</v>
      </c>
      <c r="K321" s="5" t="s">
        <v>21</v>
      </c>
      <c r="L321" s="5" t="s">
        <v>21</v>
      </c>
      <c r="M321" s="5" t="s">
        <v>25</v>
      </c>
      <c r="N321" s="5" t="s">
        <v>5105</v>
      </c>
      <c r="O321" s="5" t="s">
        <v>21</v>
      </c>
      <c r="P321" s="5" t="s">
        <v>21</v>
      </c>
      <c r="Q321" s="5" t="s">
        <v>21</v>
      </c>
      <c r="R321" s="5" t="s">
        <v>21</v>
      </c>
      <c r="S321" s="5" t="s">
        <v>21</v>
      </c>
      <c r="T321" s="5" t="s">
        <v>6151</v>
      </c>
      <c r="U321" s="5" t="s">
        <v>6152</v>
      </c>
      <c r="V321" s="5" t="s">
        <v>6153</v>
      </c>
      <c r="W321" s="5" t="s">
        <v>6154</v>
      </c>
      <c r="X321" s="5" t="s">
        <v>4594</v>
      </c>
      <c r="Y321" s="5" t="s">
        <v>6155</v>
      </c>
      <c r="Z321" s="5" t="s">
        <v>6156</v>
      </c>
      <c r="AA321" s="5" t="s">
        <v>6157</v>
      </c>
      <c r="AB321" s="5" t="s">
        <v>6158</v>
      </c>
      <c r="AC321" s="5" t="s">
        <v>6159</v>
      </c>
      <c r="AD321" s="5" t="s">
        <v>6160</v>
      </c>
      <c r="AE321" s="5" t="s">
        <v>6161</v>
      </c>
      <c r="AF321" s="5">
        <v>75</v>
      </c>
      <c r="AG321" s="5">
        <v>1</v>
      </c>
      <c r="AH321" s="5">
        <v>1</v>
      </c>
      <c r="AI321" s="5">
        <v>16</v>
      </c>
      <c r="AJ321" s="5">
        <v>20</v>
      </c>
      <c r="AK321" s="5" t="s">
        <v>493</v>
      </c>
      <c r="AL321" s="5" t="s">
        <v>494</v>
      </c>
      <c r="AM321" s="5" t="s">
        <v>495</v>
      </c>
      <c r="AN321" s="5" t="s">
        <v>1453</v>
      </c>
      <c r="AO321" s="5" t="s">
        <v>1454</v>
      </c>
      <c r="AP321" s="5" t="s">
        <v>21</v>
      </c>
      <c r="AQ321" s="5" t="s">
        <v>1455</v>
      </c>
      <c r="AR321" s="5" t="s">
        <v>1456</v>
      </c>
      <c r="AS321" s="5" t="s">
        <v>6162</v>
      </c>
      <c r="AT321" s="5">
        <v>2024</v>
      </c>
      <c r="AU321" s="5" t="s">
        <v>21</v>
      </c>
      <c r="AV321" s="5" t="s">
        <v>21</v>
      </c>
      <c r="AW321" s="5" t="s">
        <v>21</v>
      </c>
      <c r="AX321" s="5" t="s">
        <v>21</v>
      </c>
      <c r="AY321" s="5" t="s">
        <v>21</v>
      </c>
      <c r="AZ321" s="5" t="s">
        <v>21</v>
      </c>
      <c r="BA321" s="5" t="s">
        <v>21</v>
      </c>
      <c r="BB321" s="5" t="s">
        <v>21</v>
      </c>
      <c r="BC321" s="5" t="s">
        <v>21</v>
      </c>
      <c r="BD321" s="5" t="s">
        <v>6163</v>
      </c>
      <c r="BE321" s="5" t="str">
        <f>HYPERLINK("http://dx.doi.org/10.1080/10494820.2024.2405702","http://dx.doi.org/10.1080/10494820.2024.2405702")</f>
        <v>http://dx.doi.org/10.1080/10494820.2024.2405702</v>
      </c>
      <c r="BF321" s="5" t="s">
        <v>21</v>
      </c>
      <c r="BG321" s="5" t="s">
        <v>4257</v>
      </c>
      <c r="BH321" s="5">
        <v>16</v>
      </c>
      <c r="BI321" s="5" t="s">
        <v>503</v>
      </c>
      <c r="BJ321" s="5" t="s">
        <v>45</v>
      </c>
      <c r="BK321" s="5" t="s">
        <v>503</v>
      </c>
      <c r="BL321" s="5" t="s">
        <v>6164</v>
      </c>
      <c r="BM321" s="5" t="s">
        <v>21</v>
      </c>
      <c r="BN321" s="5" t="s">
        <v>21</v>
      </c>
      <c r="BO321" s="5" t="s">
        <v>21</v>
      </c>
      <c r="BP321" s="5" t="s">
        <v>21</v>
      </c>
      <c r="BQ321" s="5" t="s">
        <v>49</v>
      </c>
      <c r="BR321" s="5" t="s">
        <v>6165</v>
      </c>
      <c r="BS321" s="5" t="str">
        <f>HYPERLINK("https%3A%2F%2Fwww.webofscience.com%2Fwos%2Fwoscc%2Ffull-record%2FWOS:001320249500001","View Full Record in Web of Science")</f>
        <v>View Full Record in Web of Science</v>
      </c>
    </row>
    <row r="322" spans="1:71" x14ac:dyDescent="0.25">
      <c r="A322" t="s">
        <v>19</v>
      </c>
      <c r="B322" s="5" t="s">
        <v>6166</v>
      </c>
      <c r="C322" s="5" t="s">
        <v>21</v>
      </c>
      <c r="D322" s="5" t="s">
        <v>21</v>
      </c>
      <c r="E322" s="5" t="s">
        <v>21</v>
      </c>
      <c r="F322" s="5" t="s">
        <v>6167</v>
      </c>
      <c r="G322" s="5" t="s">
        <v>21</v>
      </c>
      <c r="H322" s="5" t="s">
        <v>21</v>
      </c>
      <c r="I322" s="5" t="s">
        <v>6168</v>
      </c>
      <c r="J322" s="12" t="s">
        <v>4407</v>
      </c>
      <c r="K322" s="5" t="s">
        <v>21</v>
      </c>
      <c r="L322" s="5" t="s">
        <v>21</v>
      </c>
      <c r="M322" s="5" t="s">
        <v>25</v>
      </c>
      <c r="N322" s="5" t="s">
        <v>76</v>
      </c>
      <c r="O322" s="5" t="s">
        <v>21</v>
      </c>
      <c r="P322" s="5" t="s">
        <v>21</v>
      </c>
      <c r="Q322" s="5" t="s">
        <v>21</v>
      </c>
      <c r="R322" s="5" t="s">
        <v>21</v>
      </c>
      <c r="S322" s="5" t="s">
        <v>21</v>
      </c>
      <c r="T322" s="5" t="s">
        <v>6169</v>
      </c>
      <c r="U322" s="5" t="s">
        <v>6170</v>
      </c>
      <c r="V322" s="5" t="s">
        <v>6171</v>
      </c>
      <c r="W322" s="5" t="s">
        <v>6172</v>
      </c>
      <c r="X322" s="5" t="s">
        <v>6173</v>
      </c>
      <c r="Y322" s="5" t="s">
        <v>6174</v>
      </c>
      <c r="Z322" s="5" t="s">
        <v>6175</v>
      </c>
      <c r="AA322" s="5" t="s">
        <v>4997</v>
      </c>
      <c r="AB322" s="5" t="s">
        <v>6176</v>
      </c>
      <c r="AC322" s="5" t="s">
        <v>21</v>
      </c>
      <c r="AD322" s="5" t="s">
        <v>21</v>
      </c>
      <c r="AE322" s="5" t="s">
        <v>6177</v>
      </c>
      <c r="AF322" s="5">
        <v>74</v>
      </c>
      <c r="AG322" s="5">
        <v>1</v>
      </c>
      <c r="AH322" s="5">
        <v>1</v>
      </c>
      <c r="AI322" s="5">
        <v>14</v>
      </c>
      <c r="AJ322" s="5">
        <v>25</v>
      </c>
      <c r="AK322" s="5" t="s">
        <v>1319</v>
      </c>
      <c r="AL322" s="5" t="s">
        <v>1320</v>
      </c>
      <c r="AM322" s="5" t="s">
        <v>4420</v>
      </c>
      <c r="AN322" s="5" t="s">
        <v>4421</v>
      </c>
      <c r="AO322" s="5" t="s">
        <v>21</v>
      </c>
      <c r="AP322" s="5" t="s">
        <v>21</v>
      </c>
      <c r="AQ322" s="5" t="s">
        <v>4422</v>
      </c>
      <c r="AR322" s="5" t="s">
        <v>4423</v>
      </c>
      <c r="AS322" s="5" t="s">
        <v>6178</v>
      </c>
      <c r="AT322" s="5">
        <v>2024</v>
      </c>
      <c r="AU322" s="5">
        <v>26</v>
      </c>
      <c r="AV322" s="5" t="s">
        <v>21</v>
      </c>
      <c r="AW322" s="5" t="s">
        <v>21</v>
      </c>
      <c r="AX322" s="5" t="s">
        <v>21</v>
      </c>
      <c r="AY322" s="5" t="s">
        <v>21</v>
      </c>
      <c r="AZ322" s="5" t="s">
        <v>21</v>
      </c>
      <c r="BA322" s="5" t="s">
        <v>21</v>
      </c>
      <c r="BB322" s="5" t="s">
        <v>21</v>
      </c>
      <c r="BC322" s="5" t="s">
        <v>6179</v>
      </c>
      <c r="BD322" s="5" t="s">
        <v>6180</v>
      </c>
      <c r="BE322" s="5" t="str">
        <f>HYPERLINK("http://dx.doi.org/10.2196/57093","http://dx.doi.org/10.2196/57093")</f>
        <v>http://dx.doi.org/10.2196/57093</v>
      </c>
      <c r="BF322" s="5" t="s">
        <v>21</v>
      </c>
      <c r="BG322" s="5" t="s">
        <v>21</v>
      </c>
      <c r="BH322" s="5">
        <v>16</v>
      </c>
      <c r="BI322" s="5" t="s">
        <v>4427</v>
      </c>
      <c r="BJ322" s="5" t="s">
        <v>524</v>
      </c>
      <c r="BK322" s="5" t="s">
        <v>4427</v>
      </c>
      <c r="BL322" s="5" t="s">
        <v>6181</v>
      </c>
      <c r="BM322" s="5">
        <v>39293060</v>
      </c>
      <c r="BN322" s="5" t="s">
        <v>1909</v>
      </c>
      <c r="BO322" s="5" t="s">
        <v>21</v>
      </c>
      <c r="BP322" s="5" t="s">
        <v>21</v>
      </c>
      <c r="BQ322" s="5" t="s">
        <v>49</v>
      </c>
      <c r="BR322" s="5" t="s">
        <v>6182</v>
      </c>
      <c r="BS322" s="5" t="str">
        <f>HYPERLINK("https%3A%2F%2Fwww.webofscience.com%2Fwos%2Fwoscc%2Ffull-record%2FWOS:001326835800004","View Full Record in Web of Science")</f>
        <v>View Full Record in Web of Science</v>
      </c>
    </row>
    <row r="323" spans="1:71" x14ac:dyDescent="0.25">
      <c r="A323" t="s">
        <v>19</v>
      </c>
      <c r="B323" s="5" t="s">
        <v>6183</v>
      </c>
      <c r="C323" s="5" t="s">
        <v>21</v>
      </c>
      <c r="D323" s="5" t="s">
        <v>21</v>
      </c>
      <c r="E323" s="5" t="s">
        <v>21</v>
      </c>
      <c r="F323" s="5" t="s">
        <v>6184</v>
      </c>
      <c r="G323" s="5" t="s">
        <v>21</v>
      </c>
      <c r="H323" s="5" t="s">
        <v>21</v>
      </c>
      <c r="I323" s="5" t="s">
        <v>6185</v>
      </c>
      <c r="J323" s="12" t="s">
        <v>6186</v>
      </c>
      <c r="K323" s="5" t="s">
        <v>21</v>
      </c>
      <c r="L323" s="5" t="s">
        <v>21</v>
      </c>
      <c r="M323" s="5" t="s">
        <v>25</v>
      </c>
      <c r="N323" s="5" t="s">
        <v>5105</v>
      </c>
      <c r="O323" s="5" t="s">
        <v>21</v>
      </c>
      <c r="P323" s="5" t="s">
        <v>21</v>
      </c>
      <c r="Q323" s="5" t="s">
        <v>21</v>
      </c>
      <c r="R323" s="5" t="s">
        <v>21</v>
      </c>
      <c r="S323" s="5" t="s">
        <v>21</v>
      </c>
      <c r="T323" s="5" t="s">
        <v>21</v>
      </c>
      <c r="U323" s="5" t="s">
        <v>6187</v>
      </c>
      <c r="V323" s="5" t="s">
        <v>6188</v>
      </c>
      <c r="W323" s="5" t="s">
        <v>6189</v>
      </c>
      <c r="X323" s="5" t="s">
        <v>6190</v>
      </c>
      <c r="Y323" s="5" t="s">
        <v>6191</v>
      </c>
      <c r="Z323" s="5" t="s">
        <v>6192</v>
      </c>
      <c r="AA323" s="5" t="s">
        <v>6193</v>
      </c>
      <c r="AB323" s="5" t="s">
        <v>6194</v>
      </c>
      <c r="AC323" s="5" t="s">
        <v>6195</v>
      </c>
      <c r="AD323" s="5" t="s">
        <v>6196</v>
      </c>
      <c r="AE323" s="5" t="s">
        <v>6197</v>
      </c>
      <c r="AF323" s="5">
        <v>220</v>
      </c>
      <c r="AG323" s="5">
        <v>1</v>
      </c>
      <c r="AH323" s="5">
        <v>1</v>
      </c>
      <c r="AI323" s="5">
        <v>7</v>
      </c>
      <c r="AJ323" s="5">
        <v>11</v>
      </c>
      <c r="AK323" s="5" t="s">
        <v>1623</v>
      </c>
      <c r="AL323" s="5" t="s">
        <v>1624</v>
      </c>
      <c r="AM323" s="5" t="s">
        <v>1625</v>
      </c>
      <c r="AN323" s="5" t="s">
        <v>6198</v>
      </c>
      <c r="AO323" s="5" t="s">
        <v>6199</v>
      </c>
      <c r="AP323" s="5" t="s">
        <v>21</v>
      </c>
      <c r="AQ323" s="5" t="s">
        <v>6200</v>
      </c>
      <c r="AR323" s="5" t="s">
        <v>6201</v>
      </c>
      <c r="AS323" s="5" t="s">
        <v>6202</v>
      </c>
      <c r="AT323" s="5">
        <v>2024</v>
      </c>
      <c r="AU323" s="5" t="s">
        <v>21</v>
      </c>
      <c r="AV323" s="5" t="s">
        <v>21</v>
      </c>
      <c r="AW323" s="5" t="s">
        <v>21</v>
      </c>
      <c r="AX323" s="5" t="s">
        <v>21</v>
      </c>
      <c r="AY323" s="5" t="s">
        <v>21</v>
      </c>
      <c r="AZ323" s="5" t="s">
        <v>21</v>
      </c>
      <c r="BA323" s="5" t="s">
        <v>21</v>
      </c>
      <c r="BB323" s="5" t="s">
        <v>21</v>
      </c>
      <c r="BC323" s="5" t="s">
        <v>21</v>
      </c>
      <c r="BD323" s="5" t="s">
        <v>6203</v>
      </c>
      <c r="BE323" s="5" t="str">
        <f>HYPERLINK("http://dx.doi.org/10.1140/epjs/s11734-024-01289-x","http://dx.doi.org/10.1140/epjs/s11734-024-01289-x")</f>
        <v>http://dx.doi.org/10.1140/epjs/s11734-024-01289-x</v>
      </c>
      <c r="BF323" s="5" t="s">
        <v>21</v>
      </c>
      <c r="BG323" s="5" t="s">
        <v>5285</v>
      </c>
      <c r="BH323" s="5">
        <v>20</v>
      </c>
      <c r="BI323" s="5" t="s">
        <v>6204</v>
      </c>
      <c r="BJ323" s="5" t="s">
        <v>524</v>
      </c>
      <c r="BK323" s="5" t="s">
        <v>6205</v>
      </c>
      <c r="BL323" s="5" t="s">
        <v>6206</v>
      </c>
      <c r="BM323" s="5" t="s">
        <v>21</v>
      </c>
      <c r="BN323" s="5" t="s">
        <v>21</v>
      </c>
      <c r="BO323" s="5" t="s">
        <v>21</v>
      </c>
      <c r="BP323" s="5" t="s">
        <v>21</v>
      </c>
      <c r="BQ323" s="5" t="s">
        <v>49</v>
      </c>
      <c r="BR323" s="5" t="s">
        <v>6207</v>
      </c>
      <c r="BS323" s="5" t="str">
        <f>HYPERLINK("https%3A%2F%2Fwww.webofscience.com%2Fwos%2Fwoscc%2Ffull-record%2FWOS:001289940700005","View Full Record in Web of Science")</f>
        <v>View Full Record in Web of Science</v>
      </c>
    </row>
    <row r="324" spans="1:71" x14ac:dyDescent="0.25">
      <c r="A324" t="s">
        <v>19</v>
      </c>
      <c r="B324" s="5" t="s">
        <v>6208</v>
      </c>
      <c r="C324" s="5" t="s">
        <v>21</v>
      </c>
      <c r="D324" s="5" t="s">
        <v>21</v>
      </c>
      <c r="E324" s="5" t="s">
        <v>21</v>
      </c>
      <c r="F324" s="5" t="s">
        <v>6209</v>
      </c>
      <c r="G324" s="5" t="s">
        <v>21</v>
      </c>
      <c r="H324" s="5" t="s">
        <v>21</v>
      </c>
      <c r="I324" s="5" t="s">
        <v>6210</v>
      </c>
      <c r="J324" s="12" t="s">
        <v>6211</v>
      </c>
      <c r="K324" s="5" t="s">
        <v>21</v>
      </c>
      <c r="L324" s="5" t="s">
        <v>21</v>
      </c>
      <c r="M324" s="5" t="s">
        <v>25</v>
      </c>
      <c r="N324" s="5" t="s">
        <v>26</v>
      </c>
      <c r="O324" s="5" t="s">
        <v>21</v>
      </c>
      <c r="P324" s="5" t="s">
        <v>21</v>
      </c>
      <c r="Q324" s="5" t="s">
        <v>21</v>
      </c>
      <c r="R324" s="5" t="s">
        <v>21</v>
      </c>
      <c r="S324" s="5" t="s">
        <v>21</v>
      </c>
      <c r="T324" s="5" t="s">
        <v>6212</v>
      </c>
      <c r="U324" s="5" t="s">
        <v>6213</v>
      </c>
      <c r="V324" s="5" t="s">
        <v>6214</v>
      </c>
      <c r="W324" s="5" t="s">
        <v>6215</v>
      </c>
      <c r="X324" s="5" t="s">
        <v>6216</v>
      </c>
      <c r="Y324" s="5" t="s">
        <v>6217</v>
      </c>
      <c r="Z324" s="5" t="s">
        <v>6218</v>
      </c>
      <c r="AA324" s="5" t="s">
        <v>6219</v>
      </c>
      <c r="AB324" s="5" t="s">
        <v>6220</v>
      </c>
      <c r="AC324" s="5" t="s">
        <v>6221</v>
      </c>
      <c r="AD324" s="5" t="s">
        <v>6221</v>
      </c>
      <c r="AE324" s="5" t="s">
        <v>6222</v>
      </c>
      <c r="AF324" s="5">
        <v>110</v>
      </c>
      <c r="AG324" s="5">
        <v>1</v>
      </c>
      <c r="AH324" s="5">
        <v>1</v>
      </c>
      <c r="AI324" s="5">
        <v>37</v>
      </c>
      <c r="AJ324" s="5">
        <v>59</v>
      </c>
      <c r="AK324" s="5" t="s">
        <v>349</v>
      </c>
      <c r="AL324" s="5" t="s">
        <v>350</v>
      </c>
      <c r="AM324" s="5" t="s">
        <v>351</v>
      </c>
      <c r="AN324" s="5" t="s">
        <v>6223</v>
      </c>
      <c r="AO324" s="5" t="s">
        <v>6224</v>
      </c>
      <c r="AP324" s="5" t="s">
        <v>21</v>
      </c>
      <c r="AQ324" s="5" t="s">
        <v>6225</v>
      </c>
      <c r="AR324" s="5" t="s">
        <v>6226</v>
      </c>
      <c r="AS324" s="5" t="s">
        <v>6227</v>
      </c>
      <c r="AT324" s="5">
        <v>2025</v>
      </c>
      <c r="AU324" s="5">
        <v>14</v>
      </c>
      <c r="AV324" s="5">
        <v>2</v>
      </c>
      <c r="AW324" s="5" t="s">
        <v>21</v>
      </c>
      <c r="AX324" s="5" t="s">
        <v>21</v>
      </c>
      <c r="AY324" s="5" t="s">
        <v>21</v>
      </c>
      <c r="AZ324" s="5" t="s">
        <v>21</v>
      </c>
      <c r="BA324" s="5">
        <v>146</v>
      </c>
      <c r="BB324" s="5">
        <v>158</v>
      </c>
      <c r="BC324" s="5" t="s">
        <v>21</v>
      </c>
      <c r="BD324" s="5" t="s">
        <v>6228</v>
      </c>
      <c r="BE324" s="5" t="str">
        <f>HYPERLINK("http://dx.doi.org/10.1089/g4h.2023.0240","http://dx.doi.org/10.1089/g4h.2023.0240")</f>
        <v>http://dx.doi.org/10.1089/g4h.2023.0240</v>
      </c>
      <c r="BF324" s="5" t="s">
        <v>21</v>
      </c>
      <c r="BG324" s="5" t="s">
        <v>5285</v>
      </c>
      <c r="BH324" s="5">
        <v>13</v>
      </c>
      <c r="BI324" s="5" t="s">
        <v>6229</v>
      </c>
      <c r="BJ324" s="5" t="s">
        <v>45</v>
      </c>
      <c r="BK324" s="5" t="s">
        <v>6230</v>
      </c>
      <c r="BL324" s="5" t="s">
        <v>6231</v>
      </c>
      <c r="BM324" s="5">
        <v>39109573</v>
      </c>
      <c r="BN324" s="5" t="s">
        <v>21</v>
      </c>
      <c r="BO324" s="5" t="s">
        <v>21</v>
      </c>
      <c r="BP324" s="5" t="s">
        <v>21</v>
      </c>
      <c r="BQ324" s="5" t="s">
        <v>49</v>
      </c>
      <c r="BR324" s="5" t="s">
        <v>6232</v>
      </c>
      <c r="BS324" s="5" t="str">
        <f>HYPERLINK("https%3A%2F%2Fwww.webofscience.com%2Fwos%2Fwoscc%2Ffull-record%2FWOS:001285352000001","View Full Record in Web of Science")</f>
        <v>View Full Record in Web of Science</v>
      </c>
    </row>
    <row r="325" spans="1:71" x14ac:dyDescent="0.25">
      <c r="A325" t="s">
        <v>19</v>
      </c>
      <c r="B325" s="5" t="s">
        <v>6233</v>
      </c>
      <c r="C325" s="5" t="s">
        <v>21</v>
      </c>
      <c r="D325" s="5" t="s">
        <v>21</v>
      </c>
      <c r="E325" s="5" t="s">
        <v>21</v>
      </c>
      <c r="F325" s="5" t="s">
        <v>6234</v>
      </c>
      <c r="G325" s="5" t="s">
        <v>21</v>
      </c>
      <c r="H325" s="5" t="s">
        <v>21</v>
      </c>
      <c r="I325" s="5" t="s">
        <v>6235</v>
      </c>
      <c r="J325" s="12" t="s">
        <v>3204</v>
      </c>
      <c r="K325" s="5" t="s">
        <v>21</v>
      </c>
      <c r="L325" s="5" t="s">
        <v>21</v>
      </c>
      <c r="M325" s="5" t="s">
        <v>25</v>
      </c>
      <c r="N325" s="5" t="s">
        <v>76</v>
      </c>
      <c r="O325" s="5" t="s">
        <v>21</v>
      </c>
      <c r="P325" s="5" t="s">
        <v>21</v>
      </c>
      <c r="Q325" s="5" t="s">
        <v>21</v>
      </c>
      <c r="R325" s="5" t="s">
        <v>21</v>
      </c>
      <c r="S325" s="5" t="s">
        <v>21</v>
      </c>
      <c r="T325" s="5" t="s">
        <v>6236</v>
      </c>
      <c r="U325" s="5" t="s">
        <v>6237</v>
      </c>
      <c r="V325" s="5" t="s">
        <v>6238</v>
      </c>
      <c r="W325" s="5" t="s">
        <v>6239</v>
      </c>
      <c r="X325" s="5" t="s">
        <v>6240</v>
      </c>
      <c r="Y325" s="5" t="s">
        <v>6241</v>
      </c>
      <c r="Z325" s="5" t="s">
        <v>6242</v>
      </c>
      <c r="AA325" s="5" t="s">
        <v>6243</v>
      </c>
      <c r="AB325" s="5" t="s">
        <v>6244</v>
      </c>
      <c r="AC325" s="5" t="s">
        <v>21</v>
      </c>
      <c r="AD325" s="5" t="s">
        <v>21</v>
      </c>
      <c r="AE325" s="5" t="s">
        <v>21</v>
      </c>
      <c r="AF325" s="5">
        <v>95</v>
      </c>
      <c r="AG325" s="5">
        <v>1</v>
      </c>
      <c r="AH325" s="5">
        <v>1</v>
      </c>
      <c r="AI325" s="5">
        <v>8</v>
      </c>
      <c r="AJ325" s="5">
        <v>19</v>
      </c>
      <c r="AK325" s="5" t="s">
        <v>3215</v>
      </c>
      <c r="AL325" s="5" t="s">
        <v>64</v>
      </c>
      <c r="AM325" s="5" t="s">
        <v>3216</v>
      </c>
      <c r="AN325" s="5" t="s">
        <v>3217</v>
      </c>
      <c r="AO325" s="5" t="s">
        <v>3218</v>
      </c>
      <c r="AP325" s="5" t="s">
        <v>21</v>
      </c>
      <c r="AQ325" s="5" t="s">
        <v>3219</v>
      </c>
      <c r="AR325" s="5" t="s">
        <v>3220</v>
      </c>
      <c r="AS325" s="5" t="s">
        <v>176</v>
      </c>
      <c r="AT325" s="5">
        <v>2025</v>
      </c>
      <c r="AU325" s="5">
        <v>9</v>
      </c>
      <c r="AV325" s="5">
        <v>1</v>
      </c>
      <c r="AW325" s="5" t="s">
        <v>21</v>
      </c>
      <c r="AX325" s="5" t="s">
        <v>21</v>
      </c>
      <c r="AY325" s="5" t="s">
        <v>21</v>
      </c>
      <c r="AZ325" s="5" t="s">
        <v>21</v>
      </c>
      <c r="BA325" s="5">
        <v>1</v>
      </c>
      <c r="BB325" s="5">
        <v>22</v>
      </c>
      <c r="BC325" s="5" t="s">
        <v>21</v>
      </c>
      <c r="BD325" s="5" t="s">
        <v>6245</v>
      </c>
      <c r="BE325" s="5" t="str">
        <f>HYPERLINK("http://dx.doi.org/10.1007/s41252-024-00413-1","http://dx.doi.org/10.1007/s41252-024-00413-1")</f>
        <v>http://dx.doi.org/10.1007/s41252-024-00413-1</v>
      </c>
      <c r="BF325" s="5" t="s">
        <v>21</v>
      </c>
      <c r="BG325" s="5" t="s">
        <v>5285</v>
      </c>
      <c r="BH325" s="5">
        <v>22</v>
      </c>
      <c r="BI325" s="5" t="s">
        <v>741</v>
      </c>
      <c r="BJ325" s="5" t="s">
        <v>1907</v>
      </c>
      <c r="BK325" s="5" t="s">
        <v>742</v>
      </c>
      <c r="BL325" s="5" t="s">
        <v>6246</v>
      </c>
      <c r="BM325" s="5" t="s">
        <v>21</v>
      </c>
      <c r="BN325" s="5" t="s">
        <v>21</v>
      </c>
      <c r="BO325" s="5" t="s">
        <v>21</v>
      </c>
      <c r="BP325" s="5" t="s">
        <v>21</v>
      </c>
      <c r="BQ325" s="5" t="s">
        <v>49</v>
      </c>
      <c r="BR325" s="5" t="s">
        <v>6247</v>
      </c>
      <c r="BS325" s="5" t="str">
        <f>HYPERLINK("https%3A%2F%2Fwww.webofscience.com%2Fwos%2Fwoscc%2Ffull-record%2FWOS:001283861100001","View Full Record in Web of Science")</f>
        <v>View Full Record in Web of Science</v>
      </c>
    </row>
    <row r="326" spans="1:71" x14ac:dyDescent="0.25">
      <c r="A326" t="s">
        <v>19</v>
      </c>
      <c r="B326" s="5" t="s">
        <v>6248</v>
      </c>
      <c r="C326" s="5" t="s">
        <v>21</v>
      </c>
      <c r="D326" s="5" t="s">
        <v>21</v>
      </c>
      <c r="E326" s="5" t="s">
        <v>21</v>
      </c>
      <c r="F326" s="5" t="s">
        <v>6249</v>
      </c>
      <c r="G326" s="5" t="s">
        <v>21</v>
      </c>
      <c r="H326" s="5" t="s">
        <v>21</v>
      </c>
      <c r="I326" s="5" t="s">
        <v>6250</v>
      </c>
      <c r="J326" s="12" t="s">
        <v>414</v>
      </c>
      <c r="K326" s="5" t="s">
        <v>21</v>
      </c>
      <c r="L326" s="5" t="s">
        <v>21</v>
      </c>
      <c r="M326" s="5" t="s">
        <v>25</v>
      </c>
      <c r="N326" s="5" t="s">
        <v>76</v>
      </c>
      <c r="O326" s="5" t="s">
        <v>21</v>
      </c>
      <c r="P326" s="5" t="s">
        <v>21</v>
      </c>
      <c r="Q326" s="5" t="s">
        <v>21</v>
      </c>
      <c r="R326" s="5" t="s">
        <v>21</v>
      </c>
      <c r="S326" s="5" t="s">
        <v>21</v>
      </c>
      <c r="T326" s="5" t="s">
        <v>6251</v>
      </c>
      <c r="U326" s="5" t="s">
        <v>6252</v>
      </c>
      <c r="V326" s="5" t="s">
        <v>6253</v>
      </c>
      <c r="W326" s="5" t="s">
        <v>6254</v>
      </c>
      <c r="X326" s="5" t="s">
        <v>6255</v>
      </c>
      <c r="Y326" s="5" t="s">
        <v>6256</v>
      </c>
      <c r="Z326" s="5" t="s">
        <v>6257</v>
      </c>
      <c r="AA326" s="5" t="s">
        <v>6258</v>
      </c>
      <c r="AB326" s="5" t="s">
        <v>6259</v>
      </c>
      <c r="AC326" s="5" t="s">
        <v>6260</v>
      </c>
      <c r="AD326" s="5" t="s">
        <v>6261</v>
      </c>
      <c r="AE326" s="5" t="s">
        <v>6262</v>
      </c>
      <c r="AF326" s="5">
        <v>106</v>
      </c>
      <c r="AG326" s="5">
        <v>1</v>
      </c>
      <c r="AH326" s="5">
        <v>1</v>
      </c>
      <c r="AI326" s="5">
        <v>5</v>
      </c>
      <c r="AJ326" s="5">
        <v>14</v>
      </c>
      <c r="AK326" s="5" t="s">
        <v>424</v>
      </c>
      <c r="AL326" s="5" t="s">
        <v>425</v>
      </c>
      <c r="AM326" s="5" t="s">
        <v>426</v>
      </c>
      <c r="AN326" s="5" t="s">
        <v>427</v>
      </c>
      <c r="AO326" s="5" t="s">
        <v>428</v>
      </c>
      <c r="AP326" s="5" t="s">
        <v>21</v>
      </c>
      <c r="AQ326" s="5" t="s">
        <v>429</v>
      </c>
      <c r="AR326" s="5" t="s">
        <v>430</v>
      </c>
      <c r="AS326" s="5" t="s">
        <v>116</v>
      </c>
      <c r="AT326" s="5">
        <v>2024</v>
      </c>
      <c r="AU326" s="5">
        <v>117</v>
      </c>
      <c r="AV326" s="5" t="s">
        <v>21</v>
      </c>
      <c r="AW326" s="5" t="s">
        <v>21</v>
      </c>
      <c r="AX326" s="5" t="s">
        <v>21</v>
      </c>
      <c r="AY326" s="5" t="s">
        <v>21</v>
      </c>
      <c r="AZ326" s="5" t="s">
        <v>21</v>
      </c>
      <c r="BA326" s="5" t="s">
        <v>21</v>
      </c>
      <c r="BB326" s="5" t="s">
        <v>21</v>
      </c>
      <c r="BC326" s="5">
        <v>102453</v>
      </c>
      <c r="BD326" s="5" t="s">
        <v>6263</v>
      </c>
      <c r="BE326" s="5" t="str">
        <f>HYPERLINK("http://dx.doi.org/10.1016/j.rasd.2024.102453","http://dx.doi.org/10.1016/j.rasd.2024.102453")</f>
        <v>http://dx.doi.org/10.1016/j.rasd.2024.102453</v>
      </c>
      <c r="BF326" s="5" t="s">
        <v>21</v>
      </c>
      <c r="BG326" s="5" t="s">
        <v>5736</v>
      </c>
      <c r="BH326" s="5">
        <v>21</v>
      </c>
      <c r="BI326" s="5" t="s">
        <v>433</v>
      </c>
      <c r="BJ326" s="5" t="s">
        <v>45</v>
      </c>
      <c r="BK326" s="5" t="s">
        <v>434</v>
      </c>
      <c r="BL326" s="5" t="s">
        <v>6264</v>
      </c>
      <c r="BM326" s="5" t="s">
        <v>21</v>
      </c>
      <c r="BN326" s="5" t="s">
        <v>120</v>
      </c>
      <c r="BO326" s="5" t="s">
        <v>21</v>
      </c>
      <c r="BP326" s="5" t="s">
        <v>21</v>
      </c>
      <c r="BQ326" s="5" t="s">
        <v>49</v>
      </c>
      <c r="BR326" s="5" t="s">
        <v>6265</v>
      </c>
      <c r="BS326" s="5" t="str">
        <f>HYPERLINK("https%3A%2F%2Fwww.webofscience.com%2Fwos%2Fwoscc%2Ffull-record%2FWOS:001263515800001","View Full Record in Web of Science")</f>
        <v>View Full Record in Web of Science</v>
      </c>
    </row>
    <row r="327" spans="1:71" x14ac:dyDescent="0.25">
      <c r="A327" t="s">
        <v>19</v>
      </c>
      <c r="B327" s="5" t="s">
        <v>6266</v>
      </c>
      <c r="C327" s="5" t="s">
        <v>21</v>
      </c>
      <c r="D327" s="5" t="s">
        <v>21</v>
      </c>
      <c r="E327" s="5" t="s">
        <v>21</v>
      </c>
      <c r="F327" s="5" t="s">
        <v>6267</v>
      </c>
      <c r="G327" s="5" t="s">
        <v>21</v>
      </c>
      <c r="H327" s="5" t="s">
        <v>21</v>
      </c>
      <c r="I327" s="5" t="s">
        <v>6268</v>
      </c>
      <c r="J327" s="12" t="s">
        <v>2600</v>
      </c>
      <c r="K327" s="5" t="s">
        <v>21</v>
      </c>
      <c r="L327" s="5" t="s">
        <v>21</v>
      </c>
      <c r="M327" s="5" t="s">
        <v>25</v>
      </c>
      <c r="N327" s="5" t="s">
        <v>26</v>
      </c>
      <c r="O327" s="5" t="s">
        <v>21</v>
      </c>
      <c r="P327" s="5" t="s">
        <v>21</v>
      </c>
      <c r="Q327" s="5" t="s">
        <v>21</v>
      </c>
      <c r="R327" s="5" t="s">
        <v>21</v>
      </c>
      <c r="S327" s="5" t="s">
        <v>21</v>
      </c>
      <c r="T327" s="5" t="s">
        <v>21</v>
      </c>
      <c r="U327" s="5" t="s">
        <v>6269</v>
      </c>
      <c r="V327" s="5" t="s">
        <v>6270</v>
      </c>
      <c r="W327" s="5" t="s">
        <v>6271</v>
      </c>
      <c r="X327" s="5" t="s">
        <v>6272</v>
      </c>
      <c r="Y327" s="5" t="s">
        <v>6273</v>
      </c>
      <c r="Z327" s="5" t="s">
        <v>6274</v>
      </c>
      <c r="AA327" s="5" t="s">
        <v>6275</v>
      </c>
      <c r="AB327" s="5" t="s">
        <v>6276</v>
      </c>
      <c r="AC327" s="5" t="s">
        <v>6277</v>
      </c>
      <c r="AD327" s="5" t="s">
        <v>6278</v>
      </c>
      <c r="AE327" s="5" t="s">
        <v>6279</v>
      </c>
      <c r="AF327" s="5">
        <v>57</v>
      </c>
      <c r="AG327" s="5">
        <v>1</v>
      </c>
      <c r="AH327" s="5">
        <v>1</v>
      </c>
      <c r="AI327" s="5">
        <v>3</v>
      </c>
      <c r="AJ327" s="5">
        <v>5</v>
      </c>
      <c r="AK327" s="5" t="s">
        <v>2612</v>
      </c>
      <c r="AL327" s="5" t="s">
        <v>2315</v>
      </c>
      <c r="AM327" s="5" t="s">
        <v>2613</v>
      </c>
      <c r="AN327" s="5" t="s">
        <v>2614</v>
      </c>
      <c r="AO327" s="5" t="s">
        <v>21</v>
      </c>
      <c r="AP327" s="5" t="s">
        <v>21</v>
      </c>
      <c r="AQ327" s="5" t="s">
        <v>2615</v>
      </c>
      <c r="AR327" s="5" t="s">
        <v>2616</v>
      </c>
      <c r="AS327" s="5" t="s">
        <v>6280</v>
      </c>
      <c r="AT327" s="5">
        <v>2024</v>
      </c>
      <c r="AU327" s="5">
        <v>14</v>
      </c>
      <c r="AV327" s="5">
        <v>1</v>
      </c>
      <c r="AW327" s="5" t="s">
        <v>21</v>
      </c>
      <c r="AX327" s="5" t="s">
        <v>21</v>
      </c>
      <c r="AY327" s="5" t="s">
        <v>21</v>
      </c>
      <c r="AZ327" s="5" t="s">
        <v>21</v>
      </c>
      <c r="BA327" s="5" t="s">
        <v>21</v>
      </c>
      <c r="BB327" s="5" t="s">
        <v>21</v>
      </c>
      <c r="BC327" s="5">
        <v>14288</v>
      </c>
      <c r="BD327" s="5" t="s">
        <v>6281</v>
      </c>
      <c r="BE327" s="5" t="str">
        <f>HYPERLINK("http://dx.doi.org/10.1038/s41598-024-65139-5","http://dx.doi.org/10.1038/s41598-024-65139-5")</f>
        <v>http://dx.doi.org/10.1038/s41598-024-65139-5</v>
      </c>
      <c r="BF327" s="5" t="s">
        <v>21</v>
      </c>
      <c r="BG327" s="5" t="s">
        <v>21</v>
      </c>
      <c r="BH327" s="5">
        <v>12</v>
      </c>
      <c r="BI327" s="5" t="s">
        <v>568</v>
      </c>
      <c r="BJ327" s="5" t="s">
        <v>524</v>
      </c>
      <c r="BK327" s="5" t="s">
        <v>569</v>
      </c>
      <c r="BL327" s="5" t="s">
        <v>6282</v>
      </c>
      <c r="BM327" s="5">
        <v>38906960</v>
      </c>
      <c r="BN327" s="5" t="s">
        <v>163</v>
      </c>
      <c r="BO327" s="5" t="s">
        <v>21</v>
      </c>
      <c r="BP327" s="5" t="s">
        <v>21</v>
      </c>
      <c r="BQ327" s="5" t="s">
        <v>49</v>
      </c>
      <c r="BR327" s="5" t="s">
        <v>6283</v>
      </c>
      <c r="BS327" s="5" t="str">
        <f>HYPERLINK("https%3A%2F%2Fwww.webofscience.com%2Fwos%2Fwoscc%2Ffull-record%2FWOS:001255183000044","View Full Record in Web of Science")</f>
        <v>View Full Record in Web of Science</v>
      </c>
    </row>
    <row r="328" spans="1:71" x14ac:dyDescent="0.25">
      <c r="A328" t="s">
        <v>19</v>
      </c>
      <c r="B328" s="5" t="s">
        <v>6284</v>
      </c>
      <c r="C328" s="5" t="s">
        <v>21</v>
      </c>
      <c r="D328" s="5" t="s">
        <v>21</v>
      </c>
      <c r="E328" s="5" t="s">
        <v>21</v>
      </c>
      <c r="F328" s="5" t="s">
        <v>6285</v>
      </c>
      <c r="G328" s="5" t="s">
        <v>21</v>
      </c>
      <c r="H328" s="5" t="s">
        <v>21</v>
      </c>
      <c r="I328" s="5" t="s">
        <v>6286</v>
      </c>
      <c r="J328" s="12" t="s">
        <v>6287</v>
      </c>
      <c r="K328" s="5" t="s">
        <v>21</v>
      </c>
      <c r="L328" s="5" t="s">
        <v>21</v>
      </c>
      <c r="M328" s="5" t="s">
        <v>25</v>
      </c>
      <c r="N328" s="5" t="s">
        <v>2836</v>
      </c>
      <c r="O328" s="5" t="s">
        <v>21</v>
      </c>
      <c r="P328" s="5" t="s">
        <v>21</v>
      </c>
      <c r="Q328" s="5" t="s">
        <v>21</v>
      </c>
      <c r="R328" s="5" t="s">
        <v>21</v>
      </c>
      <c r="S328" s="5" t="s">
        <v>21</v>
      </c>
      <c r="T328" s="5" t="s">
        <v>6288</v>
      </c>
      <c r="U328" s="5" t="s">
        <v>6289</v>
      </c>
      <c r="V328" s="5" t="s">
        <v>6290</v>
      </c>
      <c r="W328" s="5" t="s">
        <v>6291</v>
      </c>
      <c r="X328" s="5" t="s">
        <v>6292</v>
      </c>
      <c r="Y328" s="5" t="s">
        <v>6293</v>
      </c>
      <c r="Z328" s="5" t="s">
        <v>6294</v>
      </c>
      <c r="AA328" s="5" t="s">
        <v>6295</v>
      </c>
      <c r="AB328" s="5" t="s">
        <v>6296</v>
      </c>
      <c r="AC328" s="5" t="s">
        <v>6297</v>
      </c>
      <c r="AD328" s="5" t="s">
        <v>6298</v>
      </c>
      <c r="AE328" s="5" t="s">
        <v>6299</v>
      </c>
      <c r="AF328" s="5">
        <v>53</v>
      </c>
      <c r="AG328" s="5">
        <v>1</v>
      </c>
      <c r="AH328" s="5">
        <v>1</v>
      </c>
      <c r="AI328" s="5">
        <v>5</v>
      </c>
      <c r="AJ328" s="5">
        <v>23</v>
      </c>
      <c r="AK328" s="5" t="s">
        <v>493</v>
      </c>
      <c r="AL328" s="5" t="s">
        <v>494</v>
      </c>
      <c r="AM328" s="5" t="s">
        <v>495</v>
      </c>
      <c r="AN328" s="5" t="s">
        <v>6300</v>
      </c>
      <c r="AO328" s="5" t="s">
        <v>6301</v>
      </c>
      <c r="AP328" s="5" t="s">
        <v>21</v>
      </c>
      <c r="AQ328" s="5" t="s">
        <v>6302</v>
      </c>
      <c r="AR328" s="5" t="s">
        <v>6303</v>
      </c>
      <c r="AS328" s="5" t="s">
        <v>6304</v>
      </c>
      <c r="AT328" s="5">
        <v>2024</v>
      </c>
      <c r="AU328" s="5" t="s">
        <v>21</v>
      </c>
      <c r="AV328" s="5" t="s">
        <v>21</v>
      </c>
      <c r="AW328" s="5" t="s">
        <v>21</v>
      </c>
      <c r="AX328" s="5" t="s">
        <v>21</v>
      </c>
      <c r="AY328" s="5" t="s">
        <v>21</v>
      </c>
      <c r="AZ328" s="5" t="s">
        <v>21</v>
      </c>
      <c r="BA328" s="5" t="s">
        <v>21</v>
      </c>
      <c r="BB328" s="5" t="s">
        <v>21</v>
      </c>
      <c r="BC328" s="5" t="s">
        <v>21</v>
      </c>
      <c r="BD328" s="5" t="s">
        <v>6305</v>
      </c>
      <c r="BE328" s="5" t="str">
        <f>HYPERLINK("http://dx.doi.org/10.1080/19411243.2024.2351477","http://dx.doi.org/10.1080/19411243.2024.2351477")</f>
        <v>http://dx.doi.org/10.1080/19411243.2024.2351477</v>
      </c>
      <c r="BF328" s="5" t="s">
        <v>21</v>
      </c>
      <c r="BG328" s="5" t="s">
        <v>5308</v>
      </c>
      <c r="BH328" s="5">
        <v>17</v>
      </c>
      <c r="BI328" s="5" t="s">
        <v>6306</v>
      </c>
      <c r="BJ328" s="5" t="s">
        <v>1907</v>
      </c>
      <c r="BK328" s="5" t="s">
        <v>46</v>
      </c>
      <c r="BL328" s="5" t="s">
        <v>6307</v>
      </c>
      <c r="BM328" s="5" t="s">
        <v>21</v>
      </c>
      <c r="BN328" s="5" t="s">
        <v>21</v>
      </c>
      <c r="BO328" s="5" t="s">
        <v>21</v>
      </c>
      <c r="BP328" s="5" t="s">
        <v>21</v>
      </c>
      <c r="BQ328" s="5" t="s">
        <v>49</v>
      </c>
      <c r="BR328" s="5" t="s">
        <v>6308</v>
      </c>
      <c r="BS328" s="5" t="str">
        <f>HYPERLINK("https%3A%2F%2Fwww.webofscience.com%2Fwos%2Fwoscc%2Ffull-record%2FWOS:001221093200001","View Full Record in Web of Science")</f>
        <v>View Full Record in Web of Science</v>
      </c>
    </row>
    <row r="329" spans="1:71" x14ac:dyDescent="0.25">
      <c r="A329" t="s">
        <v>19</v>
      </c>
      <c r="B329" s="5" t="s">
        <v>6309</v>
      </c>
      <c r="C329" s="5" t="s">
        <v>21</v>
      </c>
      <c r="D329" s="5" t="s">
        <v>21</v>
      </c>
      <c r="E329" s="5" t="s">
        <v>21</v>
      </c>
      <c r="F329" s="5" t="s">
        <v>6310</v>
      </c>
      <c r="G329" s="5" t="s">
        <v>21</v>
      </c>
      <c r="H329" s="5" t="s">
        <v>21</v>
      </c>
      <c r="I329" s="5" t="s">
        <v>6311</v>
      </c>
      <c r="J329" s="12" t="s">
        <v>6312</v>
      </c>
      <c r="K329" s="5" t="s">
        <v>21</v>
      </c>
      <c r="L329" s="5" t="s">
        <v>21</v>
      </c>
      <c r="M329" s="5" t="s">
        <v>25</v>
      </c>
      <c r="N329" s="5" t="s">
        <v>26</v>
      </c>
      <c r="O329" s="5" t="s">
        <v>21</v>
      </c>
      <c r="P329" s="5" t="s">
        <v>21</v>
      </c>
      <c r="Q329" s="5" t="s">
        <v>21</v>
      </c>
      <c r="R329" s="5" t="s">
        <v>21</v>
      </c>
      <c r="S329" s="5" t="s">
        <v>21</v>
      </c>
      <c r="T329" s="5" t="s">
        <v>6313</v>
      </c>
      <c r="U329" s="5" t="s">
        <v>3393</v>
      </c>
      <c r="V329" s="5" t="s">
        <v>6314</v>
      </c>
      <c r="W329" s="5" t="s">
        <v>6315</v>
      </c>
      <c r="X329" s="5" t="s">
        <v>21</v>
      </c>
      <c r="Y329" s="5" t="s">
        <v>6316</v>
      </c>
      <c r="Z329" s="5" t="s">
        <v>6317</v>
      </c>
      <c r="AA329" s="5" t="s">
        <v>6318</v>
      </c>
      <c r="AB329" s="5" t="s">
        <v>21</v>
      </c>
      <c r="AC329" s="5" t="s">
        <v>21</v>
      </c>
      <c r="AD329" s="5" t="s">
        <v>21</v>
      </c>
      <c r="AE329" s="5" t="s">
        <v>21</v>
      </c>
      <c r="AF329" s="5">
        <v>24</v>
      </c>
      <c r="AG329" s="5">
        <v>1</v>
      </c>
      <c r="AH329" s="5">
        <v>1</v>
      </c>
      <c r="AI329" s="5">
        <v>3</v>
      </c>
      <c r="AJ329" s="5">
        <v>8</v>
      </c>
      <c r="AK329" s="5" t="s">
        <v>6319</v>
      </c>
      <c r="AL329" s="5" t="s">
        <v>6320</v>
      </c>
      <c r="AM329" s="5" t="s">
        <v>6321</v>
      </c>
      <c r="AN329" s="5" t="s">
        <v>6322</v>
      </c>
      <c r="AO329" s="5" t="s">
        <v>21</v>
      </c>
      <c r="AP329" s="5" t="s">
        <v>21</v>
      </c>
      <c r="AQ329" s="5" t="s">
        <v>6323</v>
      </c>
      <c r="AR329" s="5" t="s">
        <v>6324</v>
      </c>
      <c r="AS329" s="5" t="s">
        <v>690</v>
      </c>
      <c r="AT329" s="5">
        <v>2024</v>
      </c>
      <c r="AU329" s="5">
        <v>23</v>
      </c>
      <c r="AV329" s="5">
        <v>2</v>
      </c>
      <c r="AW329" s="5" t="s">
        <v>21</v>
      </c>
      <c r="AX329" s="5" t="s">
        <v>21</v>
      </c>
      <c r="AY329" s="5" t="s">
        <v>21</v>
      </c>
      <c r="AZ329" s="5" t="s">
        <v>21</v>
      </c>
      <c r="BA329" s="5">
        <v>116</v>
      </c>
      <c r="BB329" s="5">
        <v>120</v>
      </c>
      <c r="BC329" s="5" t="s">
        <v>21</v>
      </c>
      <c r="BD329" s="5" t="s">
        <v>6325</v>
      </c>
      <c r="BE329" s="5" t="str">
        <f>HYPERLINK("http://dx.doi.org/10.22442/jlumhs.2024.01057","http://dx.doi.org/10.22442/jlumhs.2024.01057")</f>
        <v>http://dx.doi.org/10.22442/jlumhs.2024.01057</v>
      </c>
      <c r="BF329" s="5" t="s">
        <v>21</v>
      </c>
      <c r="BG329" s="5" t="s">
        <v>21</v>
      </c>
      <c r="BH329" s="5">
        <v>5</v>
      </c>
      <c r="BI329" s="5" t="s">
        <v>6326</v>
      </c>
      <c r="BJ329" s="5" t="s">
        <v>1907</v>
      </c>
      <c r="BK329" s="5" t="s">
        <v>6326</v>
      </c>
      <c r="BL329" s="5" t="s">
        <v>6327</v>
      </c>
      <c r="BM329" s="5" t="s">
        <v>21</v>
      </c>
      <c r="BN329" s="5" t="s">
        <v>1909</v>
      </c>
      <c r="BO329" s="5" t="s">
        <v>21</v>
      </c>
      <c r="BP329" s="5" t="s">
        <v>21</v>
      </c>
      <c r="BQ329" s="5" t="s">
        <v>49</v>
      </c>
      <c r="BR329" s="5" t="s">
        <v>6328</v>
      </c>
      <c r="BS329" s="5" t="str">
        <f>HYPERLINK("https%3A%2F%2Fwww.webofscience.com%2Fwos%2Fwoscc%2Ffull-record%2FWOS:001306353800006","View Full Record in Web of Science")</f>
        <v>View Full Record in Web of Science</v>
      </c>
    </row>
    <row r="330" spans="1:71" x14ac:dyDescent="0.25">
      <c r="A330" t="s">
        <v>19</v>
      </c>
      <c r="B330" s="5" t="s">
        <v>6329</v>
      </c>
      <c r="C330" s="5" t="s">
        <v>21</v>
      </c>
      <c r="D330" s="5" t="s">
        <v>21</v>
      </c>
      <c r="E330" s="5" t="s">
        <v>21</v>
      </c>
      <c r="F330" s="5" t="s">
        <v>6330</v>
      </c>
      <c r="G330" s="5" t="s">
        <v>21</v>
      </c>
      <c r="H330" s="5" t="s">
        <v>21</v>
      </c>
      <c r="I330" s="5" t="s">
        <v>6331</v>
      </c>
      <c r="J330" s="12" t="s">
        <v>6332</v>
      </c>
      <c r="K330" s="5" t="s">
        <v>21</v>
      </c>
      <c r="L330" s="5" t="s">
        <v>21</v>
      </c>
      <c r="M330" s="5" t="s">
        <v>25</v>
      </c>
      <c r="N330" s="5" t="s">
        <v>26</v>
      </c>
      <c r="O330" s="5" t="s">
        <v>21</v>
      </c>
      <c r="P330" s="5" t="s">
        <v>21</v>
      </c>
      <c r="Q330" s="5" t="s">
        <v>21</v>
      </c>
      <c r="R330" s="5" t="s">
        <v>21</v>
      </c>
      <c r="S330" s="5" t="s">
        <v>21</v>
      </c>
      <c r="T330" s="5" t="s">
        <v>6333</v>
      </c>
      <c r="U330" s="5" t="s">
        <v>6334</v>
      </c>
      <c r="V330" s="5" t="s">
        <v>6335</v>
      </c>
      <c r="W330" s="5" t="s">
        <v>6336</v>
      </c>
      <c r="X330" s="5" t="s">
        <v>6337</v>
      </c>
      <c r="Y330" s="5" t="s">
        <v>6338</v>
      </c>
      <c r="Z330" s="5" t="s">
        <v>6339</v>
      </c>
      <c r="AA330" s="5" t="s">
        <v>6340</v>
      </c>
      <c r="AB330" s="5" t="s">
        <v>6341</v>
      </c>
      <c r="AC330" s="5" t="s">
        <v>6342</v>
      </c>
      <c r="AD330" s="5" t="s">
        <v>6343</v>
      </c>
      <c r="AE330" s="5" t="s">
        <v>3987</v>
      </c>
      <c r="AF330" s="5">
        <v>146</v>
      </c>
      <c r="AG330" s="5">
        <v>1</v>
      </c>
      <c r="AH330" s="5">
        <v>1</v>
      </c>
      <c r="AI330" s="5">
        <v>10</v>
      </c>
      <c r="AJ330" s="5">
        <v>18</v>
      </c>
      <c r="AK330" s="5" t="s">
        <v>193</v>
      </c>
      <c r="AL330" s="5" t="s">
        <v>194</v>
      </c>
      <c r="AM330" s="5" t="s">
        <v>195</v>
      </c>
      <c r="AN330" s="5" t="s">
        <v>21</v>
      </c>
      <c r="AO330" s="5" t="s">
        <v>6344</v>
      </c>
      <c r="AP330" s="5" t="s">
        <v>21</v>
      </c>
      <c r="AQ330" s="5" t="s">
        <v>6345</v>
      </c>
      <c r="AR330" s="5" t="s">
        <v>6346</v>
      </c>
      <c r="AS330" s="5" t="s">
        <v>782</v>
      </c>
      <c r="AT330" s="5">
        <v>2024</v>
      </c>
      <c r="AU330" s="5">
        <v>14</v>
      </c>
      <c r="AV330" s="5">
        <v>4</v>
      </c>
      <c r="AW330" s="5" t="s">
        <v>21</v>
      </c>
      <c r="AX330" s="5" t="s">
        <v>21</v>
      </c>
      <c r="AY330" s="5" t="s">
        <v>21</v>
      </c>
      <c r="AZ330" s="5" t="s">
        <v>21</v>
      </c>
      <c r="BA330" s="5" t="s">
        <v>21</v>
      </c>
      <c r="BB330" s="5" t="s">
        <v>21</v>
      </c>
      <c r="BC330" s="5">
        <v>377</v>
      </c>
      <c r="BD330" s="5" t="s">
        <v>6347</v>
      </c>
      <c r="BE330" s="5" t="str">
        <f>HYPERLINK("http://dx.doi.org/10.3390/educsci14040377","http://dx.doi.org/10.3390/educsci14040377")</f>
        <v>http://dx.doi.org/10.3390/educsci14040377</v>
      </c>
      <c r="BF330" s="5" t="s">
        <v>21</v>
      </c>
      <c r="BG330" s="5" t="s">
        <v>21</v>
      </c>
      <c r="BH330" s="5">
        <v>27</v>
      </c>
      <c r="BI330" s="5" t="s">
        <v>503</v>
      </c>
      <c r="BJ330" s="5" t="s">
        <v>1907</v>
      </c>
      <c r="BK330" s="5" t="s">
        <v>503</v>
      </c>
      <c r="BL330" s="5" t="s">
        <v>6348</v>
      </c>
      <c r="BM330" s="5" t="s">
        <v>21</v>
      </c>
      <c r="BN330" s="5" t="s">
        <v>1909</v>
      </c>
      <c r="BO330" s="5" t="s">
        <v>21</v>
      </c>
      <c r="BP330" s="5" t="s">
        <v>21</v>
      </c>
      <c r="BQ330" s="5" t="s">
        <v>49</v>
      </c>
      <c r="BR330" s="5" t="s">
        <v>6349</v>
      </c>
      <c r="BS330" s="5" t="str">
        <f>HYPERLINK("https%3A%2F%2Fwww.webofscience.com%2Fwos%2Fwoscc%2Ffull-record%2FWOS:001210633800001","View Full Record in Web of Science")</f>
        <v>View Full Record in Web of Science</v>
      </c>
    </row>
    <row r="331" spans="1:71" x14ac:dyDescent="0.25">
      <c r="A331" t="s">
        <v>19</v>
      </c>
      <c r="B331" s="5" t="s">
        <v>6350</v>
      </c>
      <c r="C331" s="5" t="s">
        <v>21</v>
      </c>
      <c r="D331" s="5" t="s">
        <v>21</v>
      </c>
      <c r="E331" s="5" t="s">
        <v>21</v>
      </c>
      <c r="F331" s="5" t="s">
        <v>6351</v>
      </c>
      <c r="G331" s="5" t="s">
        <v>21</v>
      </c>
      <c r="H331" s="5" t="s">
        <v>21</v>
      </c>
      <c r="I331" s="5" t="s">
        <v>6352</v>
      </c>
      <c r="J331" s="12" t="s">
        <v>6353</v>
      </c>
      <c r="K331" s="5" t="s">
        <v>21</v>
      </c>
      <c r="L331" s="5" t="s">
        <v>21</v>
      </c>
      <c r="M331" s="5" t="s">
        <v>25</v>
      </c>
      <c r="N331" s="5" t="s">
        <v>76</v>
      </c>
      <c r="O331" s="5" t="s">
        <v>21</v>
      </c>
      <c r="P331" s="5" t="s">
        <v>21</v>
      </c>
      <c r="Q331" s="5" t="s">
        <v>21</v>
      </c>
      <c r="R331" s="5" t="s">
        <v>21</v>
      </c>
      <c r="S331" s="5" t="s">
        <v>21</v>
      </c>
      <c r="T331" s="5" t="s">
        <v>6354</v>
      </c>
      <c r="U331" s="5" t="s">
        <v>6355</v>
      </c>
      <c r="V331" s="5" t="s">
        <v>6356</v>
      </c>
      <c r="W331" s="5" t="s">
        <v>6357</v>
      </c>
      <c r="X331" s="5" t="s">
        <v>6358</v>
      </c>
      <c r="Y331" s="5" t="s">
        <v>6359</v>
      </c>
      <c r="Z331" s="5" t="s">
        <v>6360</v>
      </c>
      <c r="AA331" s="5" t="s">
        <v>6361</v>
      </c>
      <c r="AB331" s="5" t="s">
        <v>6362</v>
      </c>
      <c r="AC331" s="5" t="s">
        <v>6363</v>
      </c>
      <c r="AD331" s="5" t="s">
        <v>6364</v>
      </c>
      <c r="AE331" s="5" t="s">
        <v>6365</v>
      </c>
      <c r="AF331" s="5">
        <v>81</v>
      </c>
      <c r="AG331" s="5">
        <v>1</v>
      </c>
      <c r="AH331" s="5">
        <v>1</v>
      </c>
      <c r="AI331" s="5">
        <v>13</v>
      </c>
      <c r="AJ331" s="5">
        <v>13</v>
      </c>
      <c r="AK331" s="5" t="s">
        <v>63</v>
      </c>
      <c r="AL331" s="5" t="s">
        <v>64</v>
      </c>
      <c r="AM331" s="5" t="s">
        <v>65</v>
      </c>
      <c r="AN331" s="5" t="s">
        <v>6366</v>
      </c>
      <c r="AO331" s="5" t="s">
        <v>21</v>
      </c>
      <c r="AP331" s="5" t="s">
        <v>21</v>
      </c>
      <c r="AQ331" s="5" t="s">
        <v>6367</v>
      </c>
      <c r="AR331" s="5" t="s">
        <v>6368</v>
      </c>
      <c r="AS331" s="5" t="s">
        <v>21</v>
      </c>
      <c r="AT331" s="5">
        <v>2024</v>
      </c>
      <c r="AU331" s="5">
        <v>10</v>
      </c>
      <c r="AV331" s="5" t="s">
        <v>21</v>
      </c>
      <c r="AW331" s="5" t="s">
        <v>21</v>
      </c>
      <c r="AX331" s="5" t="s">
        <v>21</v>
      </c>
      <c r="AY331" s="5" t="s">
        <v>21</v>
      </c>
      <c r="AZ331" s="5" t="s">
        <v>21</v>
      </c>
      <c r="BA331" s="5" t="s">
        <v>21</v>
      </c>
      <c r="BB331" s="5" t="s">
        <v>21</v>
      </c>
      <c r="BC331" s="5">
        <v>2.055207624128126E+16</v>
      </c>
      <c r="BD331" s="5" t="s">
        <v>6369</v>
      </c>
      <c r="BE331" s="5" t="str">
        <f>HYPERLINK("http://dx.doi.org/10.1177/20552076241281260","http://dx.doi.org/10.1177/20552076241281260")</f>
        <v>http://dx.doi.org/10.1177/20552076241281260</v>
      </c>
      <c r="BF331" s="5" t="s">
        <v>21</v>
      </c>
      <c r="BG331" s="5" t="s">
        <v>21</v>
      </c>
      <c r="BH331" s="5">
        <v>26</v>
      </c>
      <c r="BI331" s="5" t="s">
        <v>6370</v>
      </c>
      <c r="BJ331" s="5" t="s">
        <v>92</v>
      </c>
      <c r="BK331" s="5" t="s">
        <v>1326</v>
      </c>
      <c r="BL331" s="5" t="s">
        <v>6371</v>
      </c>
      <c r="BM331" s="5">
        <v>39600392</v>
      </c>
      <c r="BN331" s="5" t="s">
        <v>1909</v>
      </c>
      <c r="BO331" s="5" t="s">
        <v>21</v>
      </c>
      <c r="BP331" s="5" t="s">
        <v>21</v>
      </c>
      <c r="BQ331" s="5" t="s">
        <v>49</v>
      </c>
      <c r="BR331" s="5" t="s">
        <v>6372</v>
      </c>
      <c r="BS331" s="5" t="str">
        <f>HYPERLINK("https%3A%2F%2Fwww.webofscience.com%2Fwos%2Fwoscc%2Ffull-record%2FWOS:001363672200001","View Full Record in Web of Science")</f>
        <v>View Full Record in Web of Science</v>
      </c>
    </row>
    <row r="332" spans="1:71" x14ac:dyDescent="0.25">
      <c r="A332" t="s">
        <v>19</v>
      </c>
      <c r="B332" s="5" t="s">
        <v>6373</v>
      </c>
      <c r="C332" s="5" t="s">
        <v>21</v>
      </c>
      <c r="D332" s="5" t="s">
        <v>21</v>
      </c>
      <c r="E332" s="5" t="s">
        <v>21</v>
      </c>
      <c r="F332" s="5" t="s">
        <v>6374</v>
      </c>
      <c r="G332" s="5" t="s">
        <v>21</v>
      </c>
      <c r="H332" s="5" t="s">
        <v>21</v>
      </c>
      <c r="I332" s="5" t="s">
        <v>6375</v>
      </c>
      <c r="J332" s="12" t="s">
        <v>674</v>
      </c>
      <c r="K332" s="5" t="s">
        <v>21</v>
      </c>
      <c r="L332" s="5" t="s">
        <v>21</v>
      </c>
      <c r="M332" s="5" t="s">
        <v>25</v>
      </c>
      <c r="N332" s="5" t="s">
        <v>26</v>
      </c>
      <c r="O332" s="5" t="s">
        <v>21</v>
      </c>
      <c r="P332" s="5" t="s">
        <v>21</v>
      </c>
      <c r="Q332" s="5" t="s">
        <v>21</v>
      </c>
      <c r="R332" s="5" t="s">
        <v>21</v>
      </c>
      <c r="S332" s="5" t="s">
        <v>21</v>
      </c>
      <c r="T332" s="5" t="s">
        <v>6376</v>
      </c>
      <c r="U332" s="5" t="s">
        <v>6377</v>
      </c>
      <c r="V332" s="5" t="s">
        <v>6378</v>
      </c>
      <c r="W332" s="5" t="s">
        <v>6379</v>
      </c>
      <c r="X332" s="5" t="s">
        <v>6380</v>
      </c>
      <c r="Y332" s="5" t="s">
        <v>6381</v>
      </c>
      <c r="Z332" s="5" t="s">
        <v>6382</v>
      </c>
      <c r="AA332" s="5" t="s">
        <v>6383</v>
      </c>
      <c r="AB332" s="5" t="s">
        <v>6384</v>
      </c>
      <c r="AC332" s="5" t="s">
        <v>6385</v>
      </c>
      <c r="AD332" s="5" t="s">
        <v>6386</v>
      </c>
      <c r="AE332" s="5" t="s">
        <v>6387</v>
      </c>
      <c r="AF332" s="5">
        <v>59</v>
      </c>
      <c r="AG332" s="5">
        <v>1</v>
      </c>
      <c r="AH332" s="5">
        <v>1</v>
      </c>
      <c r="AI332" s="5">
        <v>15</v>
      </c>
      <c r="AJ332" s="5">
        <v>22</v>
      </c>
      <c r="AK332" s="5" t="s">
        <v>684</v>
      </c>
      <c r="AL332" s="5" t="s">
        <v>685</v>
      </c>
      <c r="AM332" s="5" t="s">
        <v>686</v>
      </c>
      <c r="AN332" s="5" t="s">
        <v>687</v>
      </c>
      <c r="AO332" s="5" t="s">
        <v>21</v>
      </c>
      <c r="AP332" s="5" t="s">
        <v>21</v>
      </c>
      <c r="AQ332" s="5" t="s">
        <v>688</v>
      </c>
      <c r="AR332" s="5" t="s">
        <v>689</v>
      </c>
      <c r="AS332" s="5" t="s">
        <v>21</v>
      </c>
      <c r="AT332" s="5">
        <v>2024</v>
      </c>
      <c r="AU332" s="5">
        <v>17</v>
      </c>
      <c r="AV332" s="5" t="s">
        <v>21</v>
      </c>
      <c r="AW332" s="5" t="s">
        <v>21</v>
      </c>
      <c r="AX332" s="5" t="s">
        <v>21</v>
      </c>
      <c r="AY332" s="5" t="s">
        <v>21</v>
      </c>
      <c r="AZ332" s="5" t="s">
        <v>21</v>
      </c>
      <c r="BA332" s="5">
        <v>2065</v>
      </c>
      <c r="BB332" s="5">
        <v>2078</v>
      </c>
      <c r="BC332" s="5" t="s">
        <v>21</v>
      </c>
      <c r="BD332" s="5" t="s">
        <v>6388</v>
      </c>
      <c r="BE332" s="5" t="str">
        <f>HYPERLINK("http://dx.doi.org/10.1109/TLT.2024.3451462","http://dx.doi.org/10.1109/TLT.2024.3451462")</f>
        <v>http://dx.doi.org/10.1109/TLT.2024.3451462</v>
      </c>
      <c r="BF332" s="5" t="s">
        <v>21</v>
      </c>
      <c r="BG332" s="5" t="s">
        <v>21</v>
      </c>
      <c r="BH332" s="5">
        <v>14</v>
      </c>
      <c r="BI332" s="5" t="s">
        <v>292</v>
      </c>
      <c r="BJ332" s="5" t="s">
        <v>92</v>
      </c>
      <c r="BK332" s="5" t="s">
        <v>293</v>
      </c>
      <c r="BL332" s="5" t="s">
        <v>6389</v>
      </c>
      <c r="BM332" s="5" t="s">
        <v>21</v>
      </c>
      <c r="BN332" s="5" t="s">
        <v>2205</v>
      </c>
      <c r="BO332" s="5" t="s">
        <v>21</v>
      </c>
      <c r="BP332" s="5" t="s">
        <v>21</v>
      </c>
      <c r="BQ332" s="5" t="s">
        <v>49</v>
      </c>
      <c r="BR332" s="5" t="s">
        <v>6390</v>
      </c>
      <c r="BS332" s="5" t="str">
        <f>HYPERLINK("https%3A%2F%2Fwww.webofscience.com%2Fwos%2Fwoscc%2Ffull-record%2FWOS:001311192900001","View Full Record in Web of Science")</f>
        <v>View Full Record in Web of Science</v>
      </c>
    </row>
    <row r="333" spans="1:71" x14ac:dyDescent="0.25">
      <c r="A333" t="s">
        <v>19</v>
      </c>
      <c r="B333" s="5" t="s">
        <v>6391</v>
      </c>
      <c r="C333" s="5" t="s">
        <v>21</v>
      </c>
      <c r="D333" s="5" t="s">
        <v>21</v>
      </c>
      <c r="E333" s="5" t="s">
        <v>21</v>
      </c>
      <c r="F333" s="5" t="s">
        <v>6392</v>
      </c>
      <c r="G333" s="5" t="s">
        <v>21</v>
      </c>
      <c r="H333" s="5" t="s">
        <v>21</v>
      </c>
      <c r="I333" s="5" t="s">
        <v>6393</v>
      </c>
      <c r="J333" s="12" t="s">
        <v>6394</v>
      </c>
      <c r="K333" s="5" t="s">
        <v>21</v>
      </c>
      <c r="L333" s="5" t="s">
        <v>21</v>
      </c>
      <c r="M333" s="5" t="s">
        <v>25</v>
      </c>
      <c r="N333" s="5" t="s">
        <v>76</v>
      </c>
      <c r="O333" s="5" t="s">
        <v>21</v>
      </c>
      <c r="P333" s="5" t="s">
        <v>21</v>
      </c>
      <c r="Q333" s="5" t="s">
        <v>21</v>
      </c>
      <c r="R333" s="5" t="s">
        <v>21</v>
      </c>
      <c r="S333" s="5" t="s">
        <v>21</v>
      </c>
      <c r="T333" s="5" t="s">
        <v>6395</v>
      </c>
      <c r="U333" s="5" t="s">
        <v>6396</v>
      </c>
      <c r="V333" s="5" t="s">
        <v>6397</v>
      </c>
      <c r="W333" s="5" t="s">
        <v>6398</v>
      </c>
      <c r="X333" s="5" t="s">
        <v>6399</v>
      </c>
      <c r="Y333" s="5" t="s">
        <v>6400</v>
      </c>
      <c r="Z333" s="5" t="s">
        <v>6401</v>
      </c>
      <c r="AA333" s="5" t="s">
        <v>21</v>
      </c>
      <c r="AB333" s="5" t="s">
        <v>6402</v>
      </c>
      <c r="AC333" s="5" t="s">
        <v>21</v>
      </c>
      <c r="AD333" s="5" t="s">
        <v>21</v>
      </c>
      <c r="AE333" s="5" t="s">
        <v>21</v>
      </c>
      <c r="AF333" s="5">
        <v>53</v>
      </c>
      <c r="AG333" s="5">
        <v>1</v>
      </c>
      <c r="AH333" s="5">
        <v>1</v>
      </c>
      <c r="AI333" s="5">
        <v>2</v>
      </c>
      <c r="AJ333" s="5">
        <v>4</v>
      </c>
      <c r="AK333" s="5" t="s">
        <v>6403</v>
      </c>
      <c r="AL333" s="5" t="s">
        <v>6404</v>
      </c>
      <c r="AM333" s="5" t="s">
        <v>6405</v>
      </c>
      <c r="AN333" s="5" t="s">
        <v>6406</v>
      </c>
      <c r="AO333" s="5" t="s">
        <v>6407</v>
      </c>
      <c r="AP333" s="5" t="s">
        <v>21</v>
      </c>
      <c r="AQ333" s="5" t="s">
        <v>6408</v>
      </c>
      <c r="AR333" s="5" t="s">
        <v>6409</v>
      </c>
      <c r="AS333" s="5" t="s">
        <v>199</v>
      </c>
      <c r="AT333" s="5">
        <v>2023</v>
      </c>
      <c r="AU333" s="5">
        <v>12</v>
      </c>
      <c r="AV333" s="5">
        <v>3</v>
      </c>
      <c r="AW333" s="5" t="s">
        <v>21</v>
      </c>
      <c r="AX333" s="5" t="s">
        <v>21</v>
      </c>
      <c r="AY333" s="5" t="s">
        <v>21</v>
      </c>
      <c r="AZ333" s="5" t="s">
        <v>21</v>
      </c>
      <c r="BA333" s="5">
        <v>235</v>
      </c>
      <c r="BB333" s="5">
        <v>246</v>
      </c>
      <c r="BC333" s="5" t="s">
        <v>21</v>
      </c>
      <c r="BD333" s="5" t="s">
        <v>6410</v>
      </c>
      <c r="BE333" s="5" t="str">
        <f>HYPERLINK("http://dx.doi.org/10.1123/kr.2022-0049","http://dx.doi.org/10.1123/kr.2022-0049")</f>
        <v>http://dx.doi.org/10.1123/kr.2022-0049</v>
      </c>
      <c r="BF333" s="5" t="s">
        <v>21</v>
      </c>
      <c r="BG333" s="5" t="s">
        <v>21</v>
      </c>
      <c r="BH333" s="5">
        <v>12</v>
      </c>
      <c r="BI333" s="5" t="s">
        <v>6411</v>
      </c>
      <c r="BJ333" s="5" t="s">
        <v>1907</v>
      </c>
      <c r="BK333" s="5" t="s">
        <v>6411</v>
      </c>
      <c r="BL333" s="5" t="s">
        <v>6412</v>
      </c>
      <c r="BM333" s="5" t="s">
        <v>21</v>
      </c>
      <c r="BN333" s="5" t="s">
        <v>21</v>
      </c>
      <c r="BO333" s="5" t="s">
        <v>21</v>
      </c>
      <c r="BP333" s="5" t="s">
        <v>21</v>
      </c>
      <c r="BQ333" s="5" t="s">
        <v>49</v>
      </c>
      <c r="BR333" s="5" t="s">
        <v>6413</v>
      </c>
      <c r="BS333" s="5" t="str">
        <f>HYPERLINK("https%3A%2F%2Fwww.webofscience.com%2Fwos%2Fwoscc%2Ffull-record%2FWOS:001299798600004","View Full Record in Web of Science")</f>
        <v>View Full Record in Web of Science</v>
      </c>
    </row>
    <row r="334" spans="1:71" x14ac:dyDescent="0.25">
      <c r="A334" t="s">
        <v>19</v>
      </c>
      <c r="B334" s="5" t="s">
        <v>6414</v>
      </c>
      <c r="C334" s="5" t="s">
        <v>21</v>
      </c>
      <c r="D334" s="5" t="s">
        <v>21</v>
      </c>
      <c r="E334" s="5" t="s">
        <v>21</v>
      </c>
      <c r="F334" s="5" t="s">
        <v>6415</v>
      </c>
      <c r="G334" s="5" t="s">
        <v>21</v>
      </c>
      <c r="H334" s="5" t="s">
        <v>21</v>
      </c>
      <c r="I334" s="5" t="s">
        <v>6416</v>
      </c>
      <c r="J334" s="12" t="s">
        <v>2149</v>
      </c>
      <c r="K334" s="5" t="s">
        <v>21</v>
      </c>
      <c r="L334" s="5" t="s">
        <v>21</v>
      </c>
      <c r="M334" s="5" t="s">
        <v>25</v>
      </c>
      <c r="N334" s="5" t="s">
        <v>26</v>
      </c>
      <c r="O334" s="5" t="s">
        <v>21</v>
      </c>
      <c r="P334" s="5" t="s">
        <v>21</v>
      </c>
      <c r="Q334" s="5" t="s">
        <v>21</v>
      </c>
      <c r="R334" s="5" t="s">
        <v>21</v>
      </c>
      <c r="S334" s="5" t="s">
        <v>21</v>
      </c>
      <c r="T334" s="5" t="s">
        <v>6417</v>
      </c>
      <c r="U334" s="5" t="s">
        <v>6418</v>
      </c>
      <c r="V334" s="5" t="s">
        <v>6419</v>
      </c>
      <c r="W334" s="5" t="s">
        <v>6420</v>
      </c>
      <c r="X334" s="5" t="s">
        <v>6421</v>
      </c>
      <c r="Y334" s="5" t="s">
        <v>6422</v>
      </c>
      <c r="Z334" s="5" t="s">
        <v>4677</v>
      </c>
      <c r="AA334" s="5" t="s">
        <v>6423</v>
      </c>
      <c r="AB334" s="5" t="s">
        <v>6424</v>
      </c>
      <c r="AC334" s="5" t="s">
        <v>6425</v>
      </c>
      <c r="AD334" s="5" t="s">
        <v>6426</v>
      </c>
      <c r="AE334" s="5" t="s">
        <v>6427</v>
      </c>
      <c r="AF334" s="5">
        <v>45</v>
      </c>
      <c r="AG334" s="5">
        <v>1</v>
      </c>
      <c r="AH334" s="5">
        <v>1</v>
      </c>
      <c r="AI334" s="5">
        <v>8</v>
      </c>
      <c r="AJ334" s="5">
        <v>26</v>
      </c>
      <c r="AK334" s="5" t="s">
        <v>193</v>
      </c>
      <c r="AL334" s="5" t="s">
        <v>194</v>
      </c>
      <c r="AM334" s="5" t="s">
        <v>195</v>
      </c>
      <c r="AN334" s="5" t="s">
        <v>21</v>
      </c>
      <c r="AO334" s="5" t="s">
        <v>2161</v>
      </c>
      <c r="AP334" s="5" t="s">
        <v>21</v>
      </c>
      <c r="AQ334" s="5" t="s">
        <v>2162</v>
      </c>
      <c r="AR334" s="5" t="s">
        <v>2163</v>
      </c>
      <c r="AS334" s="5" t="s">
        <v>6428</v>
      </c>
      <c r="AT334" s="5">
        <v>2023</v>
      </c>
      <c r="AU334" s="5">
        <v>13</v>
      </c>
      <c r="AV334" s="5">
        <v>11</v>
      </c>
      <c r="AW334" s="5" t="s">
        <v>21</v>
      </c>
      <c r="AX334" s="5" t="s">
        <v>21</v>
      </c>
      <c r="AY334" s="5" t="s">
        <v>21</v>
      </c>
      <c r="AZ334" s="5" t="s">
        <v>21</v>
      </c>
      <c r="BA334" s="5" t="s">
        <v>21</v>
      </c>
      <c r="BB334" s="5" t="s">
        <v>21</v>
      </c>
      <c r="BC334" s="5">
        <v>6783</v>
      </c>
      <c r="BD334" s="5" t="s">
        <v>6429</v>
      </c>
      <c r="BE334" s="5" t="str">
        <f>HYPERLINK("http://dx.doi.org/10.3390/app13116783","http://dx.doi.org/10.3390/app13116783")</f>
        <v>http://dx.doi.org/10.3390/app13116783</v>
      </c>
      <c r="BF334" s="5" t="s">
        <v>21</v>
      </c>
      <c r="BG334" s="5" t="s">
        <v>21</v>
      </c>
      <c r="BH334" s="5">
        <v>15</v>
      </c>
      <c r="BI334" s="5" t="s">
        <v>2165</v>
      </c>
      <c r="BJ334" s="5" t="s">
        <v>524</v>
      </c>
      <c r="BK334" s="5" t="s">
        <v>2166</v>
      </c>
      <c r="BL334" s="5" t="s">
        <v>6430</v>
      </c>
      <c r="BM334" s="5" t="s">
        <v>21</v>
      </c>
      <c r="BN334" s="5" t="s">
        <v>1909</v>
      </c>
      <c r="BO334" s="5" t="s">
        <v>21</v>
      </c>
      <c r="BP334" s="5" t="s">
        <v>21</v>
      </c>
      <c r="BQ334" s="5" t="s">
        <v>49</v>
      </c>
      <c r="BR334" s="5" t="s">
        <v>6431</v>
      </c>
      <c r="BS334" s="5" t="str">
        <f>HYPERLINK("https%3A%2F%2Fwww.webofscience.com%2Fwos%2Fwoscc%2Ffull-record%2FWOS:001005251200001","View Full Record in Web of Science")</f>
        <v>View Full Record in Web of Science</v>
      </c>
    </row>
    <row r="335" spans="1:71" x14ac:dyDescent="0.25">
      <c r="A335" t="s">
        <v>19</v>
      </c>
      <c r="B335" s="5" t="s">
        <v>6432</v>
      </c>
      <c r="C335" s="5" t="s">
        <v>21</v>
      </c>
      <c r="D335" s="5" t="s">
        <v>21</v>
      </c>
      <c r="E335" s="5" t="s">
        <v>21</v>
      </c>
      <c r="F335" s="5" t="s">
        <v>6433</v>
      </c>
      <c r="G335" s="5" t="s">
        <v>21</v>
      </c>
      <c r="H335" s="5" t="s">
        <v>21</v>
      </c>
      <c r="I335" s="5" t="s">
        <v>6434</v>
      </c>
      <c r="J335" s="12" t="s">
        <v>6435</v>
      </c>
      <c r="K335" s="5" t="s">
        <v>21</v>
      </c>
      <c r="L335" s="5" t="s">
        <v>21</v>
      </c>
      <c r="M335" s="5" t="s">
        <v>25</v>
      </c>
      <c r="N335" s="5" t="s">
        <v>26</v>
      </c>
      <c r="O335" s="5" t="s">
        <v>21</v>
      </c>
      <c r="P335" s="5" t="s">
        <v>21</v>
      </c>
      <c r="Q335" s="5" t="s">
        <v>21</v>
      </c>
      <c r="R335" s="5" t="s">
        <v>21</v>
      </c>
      <c r="S335" s="5" t="s">
        <v>21</v>
      </c>
      <c r="T335" s="5" t="s">
        <v>6436</v>
      </c>
      <c r="U335" s="5" t="s">
        <v>6437</v>
      </c>
      <c r="V335" s="5" t="s">
        <v>6438</v>
      </c>
      <c r="W335" s="5" t="s">
        <v>6439</v>
      </c>
      <c r="X335" s="5" t="s">
        <v>1102</v>
      </c>
      <c r="Y335" s="5" t="s">
        <v>6440</v>
      </c>
      <c r="Z335" s="5" t="s">
        <v>6441</v>
      </c>
      <c r="AA335" s="5" t="s">
        <v>6442</v>
      </c>
      <c r="AB335" s="5" t="s">
        <v>6443</v>
      </c>
      <c r="AC335" s="5" t="s">
        <v>5381</v>
      </c>
      <c r="AD335" s="5" t="s">
        <v>1646</v>
      </c>
      <c r="AE335" s="5" t="s">
        <v>3987</v>
      </c>
      <c r="AF335" s="5">
        <v>88</v>
      </c>
      <c r="AG335" s="5">
        <v>1</v>
      </c>
      <c r="AH335" s="5">
        <v>1</v>
      </c>
      <c r="AI335" s="5">
        <v>2</v>
      </c>
      <c r="AJ335" s="5">
        <v>3</v>
      </c>
      <c r="AK335" s="5" t="s">
        <v>193</v>
      </c>
      <c r="AL335" s="5" t="s">
        <v>194</v>
      </c>
      <c r="AM335" s="5" t="s">
        <v>195</v>
      </c>
      <c r="AN335" s="5" t="s">
        <v>21</v>
      </c>
      <c r="AO335" s="5" t="s">
        <v>6444</v>
      </c>
      <c r="AP335" s="5" t="s">
        <v>21</v>
      </c>
      <c r="AQ335" s="5" t="s">
        <v>6445</v>
      </c>
      <c r="AR335" s="5" t="s">
        <v>6446</v>
      </c>
      <c r="AS335" s="5" t="s">
        <v>89</v>
      </c>
      <c r="AT335" s="5">
        <v>2023</v>
      </c>
      <c r="AU335" s="5">
        <v>4</v>
      </c>
      <c r="AV335" s="5">
        <v>2</v>
      </c>
      <c r="AW335" s="5" t="s">
        <v>21</v>
      </c>
      <c r="AX335" s="5" t="s">
        <v>21</v>
      </c>
      <c r="AY335" s="5" t="s">
        <v>21</v>
      </c>
      <c r="AZ335" s="5" t="s">
        <v>21</v>
      </c>
      <c r="BA335" s="5">
        <v>359</v>
      </c>
      <c r="BB335" s="5">
        <v>380</v>
      </c>
      <c r="BC335" s="5" t="s">
        <v>21</v>
      </c>
      <c r="BD335" s="5" t="s">
        <v>6447</v>
      </c>
      <c r="BE335" s="5" t="str">
        <f>HYPERLINK("http://dx.doi.org/10.3390/signals4020019","http://dx.doi.org/10.3390/signals4020019")</f>
        <v>http://dx.doi.org/10.3390/signals4020019</v>
      </c>
      <c r="BF335" s="5" t="s">
        <v>21</v>
      </c>
      <c r="BG335" s="5" t="s">
        <v>21</v>
      </c>
      <c r="BH335" s="5">
        <v>22</v>
      </c>
      <c r="BI335" s="5" t="s">
        <v>6448</v>
      </c>
      <c r="BJ335" s="5" t="s">
        <v>1907</v>
      </c>
      <c r="BK335" s="5" t="s">
        <v>934</v>
      </c>
      <c r="BL335" s="5" t="s">
        <v>6449</v>
      </c>
      <c r="BM335" s="5" t="s">
        <v>21</v>
      </c>
      <c r="BN335" s="5" t="s">
        <v>1909</v>
      </c>
      <c r="BO335" s="5" t="s">
        <v>21</v>
      </c>
      <c r="BP335" s="5" t="s">
        <v>21</v>
      </c>
      <c r="BQ335" s="5" t="s">
        <v>49</v>
      </c>
      <c r="BR335" s="5" t="s">
        <v>6450</v>
      </c>
      <c r="BS335" s="5" t="str">
        <f>HYPERLINK("https%3A%2F%2Fwww.webofscience.com%2Fwos%2Fwoscc%2Ffull-record%2FWOS:001178450200001","View Full Record in Web of Science")</f>
        <v>View Full Record in Web of Science</v>
      </c>
    </row>
    <row r="336" spans="1:71" x14ac:dyDescent="0.25">
      <c r="A336" t="s">
        <v>19</v>
      </c>
      <c r="B336" s="5" t="s">
        <v>6451</v>
      </c>
      <c r="C336" s="5" t="s">
        <v>21</v>
      </c>
      <c r="D336" s="5" t="s">
        <v>21</v>
      </c>
      <c r="E336" s="5" t="s">
        <v>21</v>
      </c>
      <c r="F336" s="5" t="s">
        <v>6452</v>
      </c>
      <c r="G336" s="5" t="s">
        <v>21</v>
      </c>
      <c r="H336" s="5" t="s">
        <v>21</v>
      </c>
      <c r="I336" s="5" t="s">
        <v>6453</v>
      </c>
      <c r="J336" s="12" t="s">
        <v>6454</v>
      </c>
      <c r="K336" s="5" t="s">
        <v>21</v>
      </c>
      <c r="L336" s="5" t="s">
        <v>21</v>
      </c>
      <c r="M336" s="5" t="s">
        <v>25</v>
      </c>
      <c r="N336" s="5" t="s">
        <v>26</v>
      </c>
      <c r="O336" s="5" t="s">
        <v>21</v>
      </c>
      <c r="P336" s="5" t="s">
        <v>21</v>
      </c>
      <c r="Q336" s="5" t="s">
        <v>21</v>
      </c>
      <c r="R336" s="5" t="s">
        <v>21</v>
      </c>
      <c r="S336" s="5" t="s">
        <v>21</v>
      </c>
      <c r="T336" s="5" t="s">
        <v>6455</v>
      </c>
      <c r="U336" s="5" t="s">
        <v>6456</v>
      </c>
      <c r="V336" s="5" t="s">
        <v>6457</v>
      </c>
      <c r="W336" s="5" t="s">
        <v>6458</v>
      </c>
      <c r="X336" s="5" t="s">
        <v>6459</v>
      </c>
      <c r="Y336" s="5" t="s">
        <v>6460</v>
      </c>
      <c r="Z336" s="5" t="s">
        <v>6461</v>
      </c>
      <c r="AA336" s="5" t="s">
        <v>6462</v>
      </c>
      <c r="AB336" s="5" t="s">
        <v>6463</v>
      </c>
      <c r="AC336" s="5" t="s">
        <v>6464</v>
      </c>
      <c r="AD336" s="5" t="s">
        <v>6464</v>
      </c>
      <c r="AE336" s="5" t="s">
        <v>6465</v>
      </c>
      <c r="AF336" s="5">
        <v>32</v>
      </c>
      <c r="AG336" s="5">
        <v>1</v>
      </c>
      <c r="AH336" s="5">
        <v>1</v>
      </c>
      <c r="AI336" s="5">
        <v>3</v>
      </c>
      <c r="AJ336" s="5">
        <v>29</v>
      </c>
      <c r="AK336" s="5" t="s">
        <v>193</v>
      </c>
      <c r="AL336" s="5" t="s">
        <v>194</v>
      </c>
      <c r="AM336" s="5" t="s">
        <v>195</v>
      </c>
      <c r="AN336" s="5" t="s">
        <v>6466</v>
      </c>
      <c r="AO336" s="5" t="s">
        <v>21</v>
      </c>
      <c r="AP336" s="5" t="s">
        <v>21</v>
      </c>
      <c r="AQ336" s="5" t="s">
        <v>6454</v>
      </c>
      <c r="AR336" s="5" t="s">
        <v>6467</v>
      </c>
      <c r="AS336" s="5" t="s">
        <v>176</v>
      </c>
      <c r="AT336" s="5">
        <v>2023</v>
      </c>
      <c r="AU336" s="5">
        <v>12</v>
      </c>
      <c r="AV336" s="5">
        <v>3</v>
      </c>
      <c r="AW336" s="5" t="s">
        <v>21</v>
      </c>
      <c r="AX336" s="5" t="s">
        <v>21</v>
      </c>
      <c r="AY336" s="5" t="s">
        <v>21</v>
      </c>
      <c r="AZ336" s="5" t="s">
        <v>21</v>
      </c>
      <c r="BA336" s="5" t="s">
        <v>21</v>
      </c>
      <c r="BB336" s="5" t="s">
        <v>21</v>
      </c>
      <c r="BC336" s="5">
        <v>55</v>
      </c>
      <c r="BD336" s="5" t="s">
        <v>6468</v>
      </c>
      <c r="BE336" s="5" t="str">
        <f>HYPERLINK("http://dx.doi.org/10.3390/computers12030055","http://dx.doi.org/10.3390/computers12030055")</f>
        <v>http://dx.doi.org/10.3390/computers12030055</v>
      </c>
      <c r="BF336" s="5" t="s">
        <v>21</v>
      </c>
      <c r="BG336" s="5" t="s">
        <v>21</v>
      </c>
      <c r="BH336" s="5">
        <v>16</v>
      </c>
      <c r="BI336" s="5" t="s">
        <v>3118</v>
      </c>
      <c r="BJ336" s="5" t="s">
        <v>1907</v>
      </c>
      <c r="BK336" s="5" t="s">
        <v>715</v>
      </c>
      <c r="BL336" s="5" t="s">
        <v>6469</v>
      </c>
      <c r="BM336" s="5" t="s">
        <v>21</v>
      </c>
      <c r="BN336" s="5" t="s">
        <v>1909</v>
      </c>
      <c r="BO336" s="5" t="s">
        <v>21</v>
      </c>
      <c r="BP336" s="5" t="s">
        <v>21</v>
      </c>
      <c r="BQ336" s="5" t="s">
        <v>49</v>
      </c>
      <c r="BR336" s="5" t="s">
        <v>6470</v>
      </c>
      <c r="BS336" s="5" t="str">
        <f>HYPERLINK("https%3A%2F%2Fwww.webofscience.com%2Fwos%2Fwoscc%2Ffull-record%2FWOS:000958928600001","View Full Record in Web of Science")</f>
        <v>View Full Record in Web of Science</v>
      </c>
    </row>
    <row r="337" spans="1:71" x14ac:dyDescent="0.25">
      <c r="A337" t="s">
        <v>19</v>
      </c>
      <c r="B337" s="5" t="s">
        <v>6471</v>
      </c>
      <c r="C337" s="5" t="s">
        <v>21</v>
      </c>
      <c r="D337" s="5" t="s">
        <v>21</v>
      </c>
      <c r="E337" s="5" t="s">
        <v>21</v>
      </c>
      <c r="F337" s="5" t="s">
        <v>6472</v>
      </c>
      <c r="G337" s="5" t="s">
        <v>21</v>
      </c>
      <c r="H337" s="5" t="s">
        <v>21</v>
      </c>
      <c r="I337" s="5" t="s">
        <v>6473</v>
      </c>
      <c r="J337" s="12" t="s">
        <v>6474</v>
      </c>
      <c r="K337" s="5" t="s">
        <v>21</v>
      </c>
      <c r="L337" s="5" t="s">
        <v>21</v>
      </c>
      <c r="M337" s="5" t="s">
        <v>25</v>
      </c>
      <c r="N337" s="5" t="s">
        <v>26</v>
      </c>
      <c r="O337" s="5" t="s">
        <v>21</v>
      </c>
      <c r="P337" s="5" t="s">
        <v>21</v>
      </c>
      <c r="Q337" s="5" t="s">
        <v>21</v>
      </c>
      <c r="R337" s="5" t="s">
        <v>21</v>
      </c>
      <c r="S337" s="5" t="s">
        <v>21</v>
      </c>
      <c r="T337" s="5" t="s">
        <v>6475</v>
      </c>
      <c r="U337" s="5" t="s">
        <v>6476</v>
      </c>
      <c r="V337" s="5" t="s">
        <v>6477</v>
      </c>
      <c r="W337" s="5" t="s">
        <v>6478</v>
      </c>
      <c r="X337" s="5" t="s">
        <v>6479</v>
      </c>
      <c r="Y337" s="5" t="s">
        <v>6480</v>
      </c>
      <c r="Z337" s="5" t="s">
        <v>21</v>
      </c>
      <c r="AA337" s="5" t="s">
        <v>6481</v>
      </c>
      <c r="AB337" s="5" t="s">
        <v>6482</v>
      </c>
      <c r="AC337" s="5" t="s">
        <v>21</v>
      </c>
      <c r="AD337" s="5" t="s">
        <v>21</v>
      </c>
      <c r="AE337" s="5" t="s">
        <v>21</v>
      </c>
      <c r="AF337" s="5">
        <v>28</v>
      </c>
      <c r="AG337" s="5">
        <v>1</v>
      </c>
      <c r="AH337" s="5">
        <v>1</v>
      </c>
      <c r="AI337" s="5">
        <v>2</v>
      </c>
      <c r="AJ337" s="5">
        <v>3</v>
      </c>
      <c r="AK337" s="5" t="s">
        <v>6483</v>
      </c>
      <c r="AL337" s="5" t="s">
        <v>6484</v>
      </c>
      <c r="AM337" s="5" t="s">
        <v>6485</v>
      </c>
      <c r="AN337" s="5" t="s">
        <v>6486</v>
      </c>
      <c r="AO337" s="5" t="s">
        <v>21</v>
      </c>
      <c r="AP337" s="5" t="s">
        <v>21</v>
      </c>
      <c r="AQ337" s="5" t="s">
        <v>6487</v>
      </c>
      <c r="AR337" s="5" t="s">
        <v>6487</v>
      </c>
      <c r="AS337" s="5" t="s">
        <v>21</v>
      </c>
      <c r="AT337" s="5">
        <v>2023</v>
      </c>
      <c r="AU337" s="5">
        <v>13</v>
      </c>
      <c r="AV337" s="5">
        <v>2</v>
      </c>
      <c r="AW337" s="5" t="s">
        <v>21</v>
      </c>
      <c r="AX337" s="5" t="s">
        <v>21</v>
      </c>
      <c r="AY337" s="5" t="s">
        <v>21</v>
      </c>
      <c r="AZ337" s="5" t="s">
        <v>21</v>
      </c>
      <c r="BA337" s="5">
        <v>85</v>
      </c>
      <c r="BB337" s="5">
        <v>102</v>
      </c>
      <c r="BC337" s="5" t="s">
        <v>21</v>
      </c>
      <c r="BD337" s="5" t="s">
        <v>6488</v>
      </c>
      <c r="BE337" s="5" t="str">
        <f>HYPERLINK("http://dx.doi.org/10.2423/i22394303v13n2p85","http://dx.doi.org/10.2423/i22394303v13n2p85")</f>
        <v>http://dx.doi.org/10.2423/i22394303v13n2p85</v>
      </c>
      <c r="BF337" s="5" t="s">
        <v>21</v>
      </c>
      <c r="BG337" s="5" t="s">
        <v>21</v>
      </c>
      <c r="BH337" s="5">
        <v>18</v>
      </c>
      <c r="BI337" s="5" t="s">
        <v>6489</v>
      </c>
      <c r="BJ337" s="5" t="s">
        <v>1907</v>
      </c>
      <c r="BK337" s="5" t="s">
        <v>6490</v>
      </c>
      <c r="BL337" s="5" t="s">
        <v>6491</v>
      </c>
      <c r="BM337" s="5" t="s">
        <v>21</v>
      </c>
      <c r="BN337" s="5" t="s">
        <v>21</v>
      </c>
      <c r="BO337" s="5" t="s">
        <v>21</v>
      </c>
      <c r="BP337" s="5" t="s">
        <v>21</v>
      </c>
      <c r="BQ337" s="5" t="s">
        <v>49</v>
      </c>
      <c r="BR337" s="5" t="s">
        <v>6492</v>
      </c>
      <c r="BS337" s="5" t="str">
        <f>HYPERLINK("https%3A%2F%2Fwww.webofscience.com%2Fwos%2Fwoscc%2Ffull-record%2FWOS:001137408500007","View Full Record in Web of Science")</f>
        <v>View Full Record in Web of Science</v>
      </c>
    </row>
    <row r="338" spans="1:71" x14ac:dyDescent="0.25">
      <c r="A338" t="s">
        <v>19</v>
      </c>
      <c r="B338" s="5" t="s">
        <v>6493</v>
      </c>
      <c r="C338" s="5" t="s">
        <v>21</v>
      </c>
      <c r="D338" s="5" t="s">
        <v>21</v>
      </c>
      <c r="E338" s="5" t="s">
        <v>21</v>
      </c>
      <c r="F338" s="5" t="s">
        <v>6494</v>
      </c>
      <c r="G338" s="5" t="s">
        <v>21</v>
      </c>
      <c r="H338" s="5" t="s">
        <v>21</v>
      </c>
      <c r="I338" s="5" t="s">
        <v>6495</v>
      </c>
      <c r="J338" s="12" t="s">
        <v>6496</v>
      </c>
      <c r="K338" s="5" t="s">
        <v>21</v>
      </c>
      <c r="L338" s="5" t="s">
        <v>21</v>
      </c>
      <c r="M338" s="5" t="s">
        <v>25</v>
      </c>
      <c r="N338" s="5" t="s">
        <v>26</v>
      </c>
      <c r="O338" s="5" t="s">
        <v>21</v>
      </c>
      <c r="P338" s="5" t="s">
        <v>21</v>
      </c>
      <c r="Q338" s="5" t="s">
        <v>21</v>
      </c>
      <c r="R338" s="5" t="s">
        <v>21</v>
      </c>
      <c r="S338" s="5" t="s">
        <v>21</v>
      </c>
      <c r="T338" s="5" t="s">
        <v>6497</v>
      </c>
      <c r="U338" s="5" t="s">
        <v>21</v>
      </c>
      <c r="V338" s="5" t="s">
        <v>6498</v>
      </c>
      <c r="W338" s="5" t="s">
        <v>6499</v>
      </c>
      <c r="X338" s="5" t="s">
        <v>6500</v>
      </c>
      <c r="Y338" s="5" t="s">
        <v>6501</v>
      </c>
      <c r="Z338" s="5" t="s">
        <v>6502</v>
      </c>
      <c r="AA338" s="5" t="s">
        <v>6503</v>
      </c>
      <c r="AB338" s="5" t="s">
        <v>6504</v>
      </c>
      <c r="AC338" s="5" t="s">
        <v>21</v>
      </c>
      <c r="AD338" s="5" t="s">
        <v>21</v>
      </c>
      <c r="AE338" s="5" t="s">
        <v>21</v>
      </c>
      <c r="AF338" s="5">
        <v>18</v>
      </c>
      <c r="AG338" s="5">
        <v>1</v>
      </c>
      <c r="AH338" s="5">
        <v>1</v>
      </c>
      <c r="AI338" s="5">
        <v>7</v>
      </c>
      <c r="AJ338" s="5">
        <v>32</v>
      </c>
      <c r="AK338" s="5" t="s">
        <v>6505</v>
      </c>
      <c r="AL338" s="5" t="s">
        <v>6506</v>
      </c>
      <c r="AM338" s="5" t="s">
        <v>6507</v>
      </c>
      <c r="AN338" s="5" t="s">
        <v>6508</v>
      </c>
      <c r="AO338" s="5" t="s">
        <v>6509</v>
      </c>
      <c r="AP338" s="5" t="s">
        <v>21</v>
      </c>
      <c r="AQ338" s="5" t="s">
        <v>6510</v>
      </c>
      <c r="AR338" s="5" t="s">
        <v>6511</v>
      </c>
      <c r="AS338" s="5" t="s">
        <v>431</v>
      </c>
      <c r="AT338" s="5">
        <v>2023</v>
      </c>
      <c r="AU338" s="5">
        <v>15</v>
      </c>
      <c r="AV338" s="5">
        <v>36</v>
      </c>
      <c r="AW338" s="5" t="s">
        <v>21</v>
      </c>
      <c r="AX338" s="5" t="s">
        <v>21</v>
      </c>
      <c r="AY338" s="5" t="s">
        <v>21</v>
      </c>
      <c r="AZ338" s="5" t="s">
        <v>21</v>
      </c>
      <c r="BA338" s="5">
        <v>271</v>
      </c>
      <c r="BB338" s="5">
        <v>287</v>
      </c>
      <c r="BC338" s="5" t="s">
        <v>21</v>
      </c>
      <c r="BD338" s="5" t="s">
        <v>6512</v>
      </c>
      <c r="BE338" s="5" t="str">
        <f>HYPERLINK("http://dx.doi.org/10.18316/rcd.v15i36.10788","http://dx.doi.org/10.18316/rcd.v15i36.10788")</f>
        <v>http://dx.doi.org/10.18316/rcd.v15i36.10788</v>
      </c>
      <c r="BF338" s="5" t="s">
        <v>21</v>
      </c>
      <c r="BG338" s="5" t="s">
        <v>21</v>
      </c>
      <c r="BH338" s="5">
        <v>17</v>
      </c>
      <c r="BI338" s="5" t="s">
        <v>2899</v>
      </c>
      <c r="BJ338" s="5" t="s">
        <v>1907</v>
      </c>
      <c r="BK338" s="5" t="s">
        <v>2900</v>
      </c>
      <c r="BL338" s="5" t="s">
        <v>6513</v>
      </c>
      <c r="BM338" s="5" t="s">
        <v>21</v>
      </c>
      <c r="BN338" s="5" t="s">
        <v>1909</v>
      </c>
      <c r="BO338" s="5" t="s">
        <v>21</v>
      </c>
      <c r="BP338" s="5" t="s">
        <v>21</v>
      </c>
      <c r="BQ338" s="5" t="s">
        <v>49</v>
      </c>
      <c r="BR338" s="5" t="s">
        <v>6514</v>
      </c>
      <c r="BS338" s="5" t="str">
        <f>HYPERLINK("https%3A%2F%2Fwww.webofscience.com%2Fwos%2Fwoscc%2Ffull-record%2FWOS:000999087800003","View Full Record in Web of Science")</f>
        <v>View Full Record in Web of Science</v>
      </c>
    </row>
    <row r="339" spans="1:71" x14ac:dyDescent="0.25">
      <c r="A339" t="s">
        <v>19</v>
      </c>
      <c r="B339" s="5" t="s">
        <v>6515</v>
      </c>
      <c r="C339" s="5" t="s">
        <v>21</v>
      </c>
      <c r="D339" s="5" t="s">
        <v>21</v>
      </c>
      <c r="E339" s="5" t="s">
        <v>21</v>
      </c>
      <c r="F339" s="5" t="s">
        <v>6516</v>
      </c>
      <c r="G339" s="5" t="s">
        <v>21</v>
      </c>
      <c r="H339" s="5" t="s">
        <v>21</v>
      </c>
      <c r="I339" s="5" t="s">
        <v>6517</v>
      </c>
      <c r="J339" s="12" t="s">
        <v>6518</v>
      </c>
      <c r="K339" s="5" t="s">
        <v>21</v>
      </c>
      <c r="L339" s="5" t="s">
        <v>21</v>
      </c>
      <c r="M339" s="5" t="s">
        <v>25</v>
      </c>
      <c r="N339" s="5" t="s">
        <v>26</v>
      </c>
      <c r="O339" s="5" t="s">
        <v>21</v>
      </c>
      <c r="P339" s="5" t="s">
        <v>21</v>
      </c>
      <c r="Q339" s="5" t="s">
        <v>21</v>
      </c>
      <c r="R339" s="5" t="s">
        <v>21</v>
      </c>
      <c r="S339" s="5" t="s">
        <v>21</v>
      </c>
      <c r="T339" s="5" t="s">
        <v>6519</v>
      </c>
      <c r="U339" s="5" t="s">
        <v>6520</v>
      </c>
      <c r="V339" s="5" t="s">
        <v>6521</v>
      </c>
      <c r="W339" s="5" t="s">
        <v>6522</v>
      </c>
      <c r="X339" s="5" t="s">
        <v>3129</v>
      </c>
      <c r="Y339" s="5" t="s">
        <v>6523</v>
      </c>
      <c r="Z339" s="5" t="s">
        <v>2180</v>
      </c>
      <c r="AA339" s="5" t="s">
        <v>21</v>
      </c>
      <c r="AB339" s="5" t="s">
        <v>6524</v>
      </c>
      <c r="AC339" s="5" t="s">
        <v>21</v>
      </c>
      <c r="AD339" s="5" t="s">
        <v>21</v>
      </c>
      <c r="AE339" s="5" t="s">
        <v>21</v>
      </c>
      <c r="AF339" s="5">
        <v>98</v>
      </c>
      <c r="AG339" s="5">
        <v>1</v>
      </c>
      <c r="AH339" s="5">
        <v>1</v>
      </c>
      <c r="AI339" s="5">
        <v>2</v>
      </c>
      <c r="AJ339" s="5">
        <v>13</v>
      </c>
      <c r="AK339" s="5" t="s">
        <v>6525</v>
      </c>
      <c r="AL339" s="5" t="s">
        <v>6526</v>
      </c>
      <c r="AM339" s="5" t="s">
        <v>6527</v>
      </c>
      <c r="AN339" s="5" t="s">
        <v>21</v>
      </c>
      <c r="AO339" s="5" t="s">
        <v>6528</v>
      </c>
      <c r="AP339" s="5" t="s">
        <v>21</v>
      </c>
      <c r="AQ339" s="5" t="s">
        <v>6529</v>
      </c>
      <c r="AR339" s="5" t="s">
        <v>6530</v>
      </c>
      <c r="AS339" s="5" t="s">
        <v>21</v>
      </c>
      <c r="AT339" s="5">
        <v>2023</v>
      </c>
      <c r="AU339" s="5">
        <v>19</v>
      </c>
      <c r="AV339" s="5">
        <v>12</v>
      </c>
      <c r="AW339" s="5" t="s">
        <v>21</v>
      </c>
      <c r="AX339" s="5" t="s">
        <v>21</v>
      </c>
      <c r="AY339" s="5" t="s">
        <v>21</v>
      </c>
      <c r="AZ339" s="5" t="s">
        <v>21</v>
      </c>
      <c r="BA339" s="5">
        <v>99</v>
      </c>
      <c r="BB339" s="5">
        <v>110</v>
      </c>
      <c r="BC339" s="5" t="s">
        <v>21</v>
      </c>
      <c r="BD339" s="5" t="s">
        <v>6531</v>
      </c>
      <c r="BE339" s="5" t="str">
        <f>HYPERLINK("http://dx.doi.org/10.3991/ijoe.v19i12.37625","http://dx.doi.org/10.3991/ijoe.v19i12.37625")</f>
        <v>http://dx.doi.org/10.3991/ijoe.v19i12.37625</v>
      </c>
      <c r="BF339" s="5" t="s">
        <v>21</v>
      </c>
      <c r="BG339" s="5" t="s">
        <v>21</v>
      </c>
      <c r="BH339" s="5">
        <v>12</v>
      </c>
      <c r="BI339" s="5" t="s">
        <v>3118</v>
      </c>
      <c r="BJ339" s="5" t="s">
        <v>1907</v>
      </c>
      <c r="BK339" s="5" t="s">
        <v>715</v>
      </c>
      <c r="BL339" s="5" t="s">
        <v>6532</v>
      </c>
      <c r="BM339" s="5" t="s">
        <v>21</v>
      </c>
      <c r="BN339" s="5" t="s">
        <v>1909</v>
      </c>
      <c r="BO339" s="5" t="s">
        <v>21</v>
      </c>
      <c r="BP339" s="5" t="s">
        <v>21</v>
      </c>
      <c r="BQ339" s="5" t="s">
        <v>49</v>
      </c>
      <c r="BR339" s="5" t="s">
        <v>6533</v>
      </c>
      <c r="BS339" s="5" t="str">
        <f>HYPERLINK("https%3A%2F%2Fwww.webofscience.com%2Fwos%2Fwoscc%2Ffull-record%2FWOS:001065381900006","View Full Record in Web of Science")</f>
        <v>View Full Record in Web of Science</v>
      </c>
    </row>
    <row r="340" spans="1:71" x14ac:dyDescent="0.25">
      <c r="A340" t="s">
        <v>19</v>
      </c>
      <c r="B340" s="5" t="s">
        <v>6534</v>
      </c>
      <c r="C340" s="5" t="s">
        <v>21</v>
      </c>
      <c r="D340" s="5" t="s">
        <v>21</v>
      </c>
      <c r="E340" s="5" t="s">
        <v>21</v>
      </c>
      <c r="F340" s="5" t="s">
        <v>6535</v>
      </c>
      <c r="G340" s="5" t="s">
        <v>21</v>
      </c>
      <c r="H340" s="5" t="s">
        <v>21</v>
      </c>
      <c r="I340" s="5" t="s">
        <v>6536</v>
      </c>
      <c r="J340" s="12" t="s">
        <v>6537</v>
      </c>
      <c r="K340" s="5" t="s">
        <v>21</v>
      </c>
      <c r="L340" s="5" t="s">
        <v>21</v>
      </c>
      <c r="M340" s="5" t="s">
        <v>25</v>
      </c>
      <c r="N340" s="5" t="s">
        <v>76</v>
      </c>
      <c r="O340" s="5" t="s">
        <v>21</v>
      </c>
      <c r="P340" s="5" t="s">
        <v>21</v>
      </c>
      <c r="Q340" s="5" t="s">
        <v>21</v>
      </c>
      <c r="R340" s="5" t="s">
        <v>21</v>
      </c>
      <c r="S340" s="5" t="s">
        <v>21</v>
      </c>
      <c r="T340" s="5" t="s">
        <v>6538</v>
      </c>
      <c r="U340" s="5" t="s">
        <v>6539</v>
      </c>
      <c r="V340" s="5" t="s">
        <v>6540</v>
      </c>
      <c r="W340" s="5" t="s">
        <v>6541</v>
      </c>
      <c r="X340" s="5" t="s">
        <v>6542</v>
      </c>
      <c r="Y340" s="5" t="s">
        <v>6543</v>
      </c>
      <c r="Z340" s="5" t="s">
        <v>6544</v>
      </c>
      <c r="AA340" s="5" t="s">
        <v>6545</v>
      </c>
      <c r="AB340" s="5" t="s">
        <v>6546</v>
      </c>
      <c r="AC340" s="5" t="s">
        <v>6547</v>
      </c>
      <c r="AD340" s="5" t="s">
        <v>6548</v>
      </c>
      <c r="AE340" s="5" t="s">
        <v>6549</v>
      </c>
      <c r="AF340" s="5">
        <v>45</v>
      </c>
      <c r="AG340" s="5">
        <v>1</v>
      </c>
      <c r="AH340" s="5">
        <v>2</v>
      </c>
      <c r="AI340" s="5">
        <v>8</v>
      </c>
      <c r="AJ340" s="5">
        <v>72</v>
      </c>
      <c r="AK340" s="5" t="s">
        <v>193</v>
      </c>
      <c r="AL340" s="5" t="s">
        <v>194</v>
      </c>
      <c r="AM340" s="5" t="s">
        <v>1413</v>
      </c>
      <c r="AN340" s="5" t="s">
        <v>21</v>
      </c>
      <c r="AO340" s="5" t="s">
        <v>6550</v>
      </c>
      <c r="AP340" s="5" t="s">
        <v>21</v>
      </c>
      <c r="AQ340" s="5" t="s">
        <v>6551</v>
      </c>
      <c r="AR340" s="5" t="s">
        <v>6552</v>
      </c>
      <c r="AS340" s="5" t="s">
        <v>199</v>
      </c>
      <c r="AT340" s="5">
        <v>2022</v>
      </c>
      <c r="AU340" s="5">
        <v>10</v>
      </c>
      <c r="AV340" s="5">
        <v>8</v>
      </c>
      <c r="AW340" s="5" t="s">
        <v>21</v>
      </c>
      <c r="AX340" s="5" t="s">
        <v>21</v>
      </c>
      <c r="AY340" s="5" t="s">
        <v>21</v>
      </c>
      <c r="AZ340" s="5" t="s">
        <v>21</v>
      </c>
      <c r="BA340" s="5" t="s">
        <v>21</v>
      </c>
      <c r="BB340" s="5" t="s">
        <v>21</v>
      </c>
      <c r="BC340" s="5">
        <v>1415</v>
      </c>
      <c r="BD340" s="5" t="s">
        <v>6553</v>
      </c>
      <c r="BE340" s="5" t="str">
        <f>HYPERLINK("http://dx.doi.org/10.3390/healthcare10081415","http://dx.doi.org/10.3390/healthcare10081415")</f>
        <v>http://dx.doi.org/10.3390/healthcare10081415</v>
      </c>
      <c r="BF340" s="5" t="s">
        <v>21</v>
      </c>
      <c r="BG340" s="5" t="s">
        <v>21</v>
      </c>
      <c r="BH340" s="5">
        <v>18</v>
      </c>
      <c r="BI340" s="5" t="s">
        <v>6554</v>
      </c>
      <c r="BJ340" s="5" t="s">
        <v>92</v>
      </c>
      <c r="BK340" s="5" t="s">
        <v>6326</v>
      </c>
      <c r="BL340" s="5" t="s">
        <v>6555</v>
      </c>
      <c r="BM340" s="5">
        <v>36011071</v>
      </c>
      <c r="BN340" s="5" t="s">
        <v>163</v>
      </c>
      <c r="BO340" s="5" t="s">
        <v>21</v>
      </c>
      <c r="BP340" s="5" t="s">
        <v>21</v>
      </c>
      <c r="BQ340" s="5" t="s">
        <v>49</v>
      </c>
      <c r="BR340" s="5" t="s">
        <v>6556</v>
      </c>
      <c r="BS340" s="5" t="str">
        <f>HYPERLINK("https%3A%2F%2Fwww.webofscience.com%2Fwos%2Fwoscc%2Ffull-record%2FWOS:000846508400001","View Full Record in Web of Science")</f>
        <v>View Full Record in Web of Science</v>
      </c>
    </row>
    <row r="341" spans="1:71" x14ac:dyDescent="0.25">
      <c r="A341" t="s">
        <v>19</v>
      </c>
      <c r="B341" s="5" t="s">
        <v>6557</v>
      </c>
      <c r="C341" s="5" t="s">
        <v>21</v>
      </c>
      <c r="D341" s="5" t="s">
        <v>21</v>
      </c>
      <c r="E341" s="5" t="s">
        <v>21</v>
      </c>
      <c r="F341" s="5" t="s">
        <v>6558</v>
      </c>
      <c r="G341" s="5" t="s">
        <v>21</v>
      </c>
      <c r="H341" s="5" t="s">
        <v>21</v>
      </c>
      <c r="I341" s="5" t="s">
        <v>6559</v>
      </c>
      <c r="J341" s="12" t="s">
        <v>6560</v>
      </c>
      <c r="K341" s="5" t="s">
        <v>21</v>
      </c>
      <c r="L341" s="5" t="s">
        <v>21</v>
      </c>
      <c r="M341" s="5" t="s">
        <v>25</v>
      </c>
      <c r="N341" s="5" t="s">
        <v>76</v>
      </c>
      <c r="O341" s="5" t="s">
        <v>21</v>
      </c>
      <c r="P341" s="5" t="s">
        <v>21</v>
      </c>
      <c r="Q341" s="5" t="s">
        <v>21</v>
      </c>
      <c r="R341" s="5" t="s">
        <v>21</v>
      </c>
      <c r="S341" s="5" t="s">
        <v>21</v>
      </c>
      <c r="T341" s="5" t="s">
        <v>6561</v>
      </c>
      <c r="U341" s="5" t="s">
        <v>6562</v>
      </c>
      <c r="V341" s="5" t="s">
        <v>6563</v>
      </c>
      <c r="W341" s="5" t="s">
        <v>6564</v>
      </c>
      <c r="X341" s="5" t="s">
        <v>6565</v>
      </c>
      <c r="Y341" s="5" t="s">
        <v>6566</v>
      </c>
      <c r="Z341" s="5" t="s">
        <v>6567</v>
      </c>
      <c r="AA341" s="5" t="s">
        <v>21</v>
      </c>
      <c r="AB341" s="5" t="s">
        <v>21</v>
      </c>
      <c r="AC341" s="5" t="s">
        <v>21</v>
      </c>
      <c r="AD341" s="5" t="s">
        <v>21</v>
      </c>
      <c r="AE341" s="5" t="s">
        <v>21</v>
      </c>
      <c r="AF341" s="5">
        <v>138</v>
      </c>
      <c r="AG341" s="5">
        <v>0</v>
      </c>
      <c r="AH341" s="5">
        <v>0</v>
      </c>
      <c r="AI341" s="5">
        <v>1</v>
      </c>
      <c r="AJ341" s="5">
        <v>1</v>
      </c>
      <c r="AK341" s="5" t="s">
        <v>1133</v>
      </c>
      <c r="AL341" s="5" t="s">
        <v>1134</v>
      </c>
      <c r="AM341" s="5" t="s">
        <v>1135</v>
      </c>
      <c r="AN341" s="5" t="s">
        <v>21</v>
      </c>
      <c r="AO341" s="5" t="s">
        <v>6568</v>
      </c>
      <c r="AP341" s="5" t="s">
        <v>21</v>
      </c>
      <c r="AQ341" s="5" t="s">
        <v>6569</v>
      </c>
      <c r="AR341" s="5" t="s">
        <v>6570</v>
      </c>
      <c r="AS341" s="5" t="s">
        <v>89</v>
      </c>
      <c r="AT341" s="5">
        <v>2025</v>
      </c>
      <c r="AU341" s="5">
        <v>26</v>
      </c>
      <c r="AV341" s="5" t="s">
        <v>21</v>
      </c>
      <c r="AW341" s="5" t="s">
        <v>21</v>
      </c>
      <c r="AX341" s="5" t="s">
        <v>21</v>
      </c>
      <c r="AY341" s="5" t="s">
        <v>21</v>
      </c>
      <c r="AZ341" s="5" t="s">
        <v>21</v>
      </c>
      <c r="BA341" s="5" t="s">
        <v>21</v>
      </c>
      <c r="BB341" s="5" t="s">
        <v>21</v>
      </c>
      <c r="BC341" s="5">
        <v>100365</v>
      </c>
      <c r="BD341" s="5" t="s">
        <v>6571</v>
      </c>
      <c r="BE341" s="5" t="str">
        <f>HYPERLINK("http://dx.doi.org/10.1016/j.medntd.2025.100365","http://dx.doi.org/10.1016/j.medntd.2025.100365")</f>
        <v>http://dx.doi.org/10.1016/j.medntd.2025.100365</v>
      </c>
      <c r="BF341" s="5" t="s">
        <v>21</v>
      </c>
      <c r="BG341" s="5" t="s">
        <v>21</v>
      </c>
      <c r="BH341" s="5">
        <v>16</v>
      </c>
      <c r="BI341" s="5" t="s">
        <v>933</v>
      </c>
      <c r="BJ341" s="5" t="s">
        <v>1907</v>
      </c>
      <c r="BK341" s="5" t="s">
        <v>934</v>
      </c>
      <c r="BL341" s="5" t="s">
        <v>6572</v>
      </c>
      <c r="BM341" s="5" t="s">
        <v>21</v>
      </c>
      <c r="BN341" s="5" t="s">
        <v>21</v>
      </c>
      <c r="BO341" s="5" t="s">
        <v>21</v>
      </c>
      <c r="BP341" s="5" t="s">
        <v>21</v>
      </c>
      <c r="BQ341" s="5" t="s">
        <v>49</v>
      </c>
      <c r="BR341" s="5" t="s">
        <v>6573</v>
      </c>
      <c r="BS341" s="5" t="str">
        <f>HYPERLINK("https%3A%2F%2Fwww.webofscience.com%2Fwos%2Fwoscc%2Ffull-record%2FWOS:001464415100001","View Full Record in Web of Science")</f>
        <v>View Full Record in Web of Science</v>
      </c>
    </row>
    <row r="342" spans="1:71" x14ac:dyDescent="0.25">
      <c r="A342" t="s">
        <v>19</v>
      </c>
      <c r="B342" s="5" t="s">
        <v>6574</v>
      </c>
      <c r="C342" s="5" t="s">
        <v>21</v>
      </c>
      <c r="D342" s="5" t="s">
        <v>21</v>
      </c>
      <c r="E342" s="5" t="s">
        <v>21</v>
      </c>
      <c r="F342" s="5" t="s">
        <v>6575</v>
      </c>
      <c r="G342" s="5" t="s">
        <v>21</v>
      </c>
      <c r="H342" s="5" t="s">
        <v>21</v>
      </c>
      <c r="I342" s="5" t="s">
        <v>6576</v>
      </c>
      <c r="J342" s="12" t="s">
        <v>6577</v>
      </c>
      <c r="K342" s="5" t="s">
        <v>21</v>
      </c>
      <c r="L342" s="5" t="s">
        <v>21</v>
      </c>
      <c r="M342" s="5" t="s">
        <v>25</v>
      </c>
      <c r="N342" s="5" t="s">
        <v>26</v>
      </c>
      <c r="O342" s="5" t="s">
        <v>21</v>
      </c>
      <c r="P342" s="5" t="s">
        <v>21</v>
      </c>
      <c r="Q342" s="5" t="s">
        <v>21</v>
      </c>
      <c r="R342" s="5" t="s">
        <v>21</v>
      </c>
      <c r="S342" s="5" t="s">
        <v>21</v>
      </c>
      <c r="T342" s="5" t="s">
        <v>6578</v>
      </c>
      <c r="U342" s="5" t="s">
        <v>6579</v>
      </c>
      <c r="V342" s="5" t="s">
        <v>6580</v>
      </c>
      <c r="W342" s="5" t="s">
        <v>6581</v>
      </c>
      <c r="X342" s="5" t="s">
        <v>6582</v>
      </c>
      <c r="Y342" s="5" t="s">
        <v>6583</v>
      </c>
      <c r="Z342" s="5" t="s">
        <v>6584</v>
      </c>
      <c r="AA342" s="5" t="s">
        <v>6585</v>
      </c>
      <c r="AB342" s="5" t="s">
        <v>21</v>
      </c>
      <c r="AC342" s="5" t="s">
        <v>6586</v>
      </c>
      <c r="AD342" s="5" t="s">
        <v>6587</v>
      </c>
      <c r="AE342" s="5" t="s">
        <v>6588</v>
      </c>
      <c r="AF342" s="5">
        <v>60</v>
      </c>
      <c r="AG342" s="5">
        <v>0</v>
      </c>
      <c r="AH342" s="5">
        <v>0</v>
      </c>
      <c r="AI342" s="5">
        <v>1</v>
      </c>
      <c r="AJ342" s="5">
        <v>1</v>
      </c>
      <c r="AK342" s="5" t="s">
        <v>838</v>
      </c>
      <c r="AL342" s="5" t="s">
        <v>585</v>
      </c>
      <c r="AM342" s="5" t="s">
        <v>839</v>
      </c>
      <c r="AN342" s="5" t="s">
        <v>6589</v>
      </c>
      <c r="AO342" s="5" t="s">
        <v>6590</v>
      </c>
      <c r="AP342" s="5" t="s">
        <v>21</v>
      </c>
      <c r="AQ342" s="5" t="s">
        <v>6591</v>
      </c>
      <c r="AR342" s="5" t="s">
        <v>6592</v>
      </c>
      <c r="AS342" s="5" t="s">
        <v>69</v>
      </c>
      <c r="AT342" s="5">
        <v>2025</v>
      </c>
      <c r="AU342" s="5">
        <v>38</v>
      </c>
      <c r="AV342" s="5">
        <v>3</v>
      </c>
      <c r="AW342" s="5" t="s">
        <v>21</v>
      </c>
      <c r="AX342" s="5" t="s">
        <v>21</v>
      </c>
      <c r="AY342" s="5" t="s">
        <v>21</v>
      </c>
      <c r="AZ342" s="5" t="s">
        <v>21</v>
      </c>
      <c r="BA342" s="5">
        <v>227</v>
      </c>
      <c r="BB342" s="5">
        <v>234</v>
      </c>
      <c r="BC342" s="5" t="s">
        <v>21</v>
      </c>
      <c r="BD342" s="5" t="s">
        <v>6593</v>
      </c>
      <c r="BE342" s="5" t="str">
        <f>HYPERLINK("http://dx.doi.org/10.1097/YCO.0000000000000996","http://dx.doi.org/10.1097/YCO.0000000000000996")</f>
        <v>http://dx.doi.org/10.1097/YCO.0000000000000996</v>
      </c>
      <c r="BF342" s="5" t="s">
        <v>21</v>
      </c>
      <c r="BG342" s="5" t="s">
        <v>21</v>
      </c>
      <c r="BH342" s="5">
        <v>8</v>
      </c>
      <c r="BI342" s="5" t="s">
        <v>161</v>
      </c>
      <c r="BJ342" s="5" t="s">
        <v>92</v>
      </c>
      <c r="BK342" s="5" t="s">
        <v>161</v>
      </c>
      <c r="BL342" s="5" t="s">
        <v>6594</v>
      </c>
      <c r="BM342" s="5">
        <v>40071484</v>
      </c>
      <c r="BN342" s="5" t="s">
        <v>21</v>
      </c>
      <c r="BO342" s="5" t="s">
        <v>21</v>
      </c>
      <c r="BP342" s="5" t="s">
        <v>21</v>
      </c>
      <c r="BQ342" s="5" t="s">
        <v>49</v>
      </c>
      <c r="BR342" s="5" t="s">
        <v>6595</v>
      </c>
      <c r="BS342" s="5" t="str">
        <f>HYPERLINK("https%3A%2F%2Fwww.webofscience.com%2Fwos%2Fwoscc%2Ffull-record%2FWOS:001455247800012","View Full Record in Web of Science")</f>
        <v>View Full Record in Web of Science</v>
      </c>
    </row>
    <row r="343" spans="1:71" x14ac:dyDescent="0.25">
      <c r="A343" t="s">
        <v>19</v>
      </c>
      <c r="B343" s="5" t="s">
        <v>6596</v>
      </c>
      <c r="C343" s="5" t="s">
        <v>21</v>
      </c>
      <c r="D343" s="5" t="s">
        <v>21</v>
      </c>
      <c r="E343" s="5" t="s">
        <v>21</v>
      </c>
      <c r="F343" s="5" t="s">
        <v>6597</v>
      </c>
      <c r="G343" s="5" t="s">
        <v>21</v>
      </c>
      <c r="H343" s="5" t="s">
        <v>21</v>
      </c>
      <c r="I343" s="5" t="s">
        <v>6598</v>
      </c>
      <c r="J343" s="12" t="s">
        <v>894</v>
      </c>
      <c r="K343" s="5" t="s">
        <v>21</v>
      </c>
      <c r="L343" s="5" t="s">
        <v>21</v>
      </c>
      <c r="M343" s="5" t="s">
        <v>25</v>
      </c>
      <c r="N343" s="5" t="s">
        <v>2836</v>
      </c>
      <c r="O343" s="5" t="s">
        <v>21</v>
      </c>
      <c r="P343" s="5" t="s">
        <v>21</v>
      </c>
      <c r="Q343" s="5" t="s">
        <v>21</v>
      </c>
      <c r="R343" s="5" t="s">
        <v>21</v>
      </c>
      <c r="S343" s="5" t="s">
        <v>21</v>
      </c>
      <c r="T343" s="5" t="s">
        <v>6599</v>
      </c>
      <c r="U343" s="5" t="s">
        <v>6600</v>
      </c>
      <c r="V343" s="5" t="s">
        <v>6601</v>
      </c>
      <c r="W343" s="5" t="s">
        <v>6602</v>
      </c>
      <c r="X343" s="5" t="s">
        <v>6603</v>
      </c>
      <c r="Y343" s="5" t="s">
        <v>6604</v>
      </c>
      <c r="Z343" s="5" t="s">
        <v>6605</v>
      </c>
      <c r="AA343" s="5" t="s">
        <v>6606</v>
      </c>
      <c r="AB343" s="5" t="s">
        <v>21</v>
      </c>
      <c r="AC343" s="5" t="s">
        <v>6607</v>
      </c>
      <c r="AD343" s="5" t="s">
        <v>6608</v>
      </c>
      <c r="AE343" s="5" t="s">
        <v>6609</v>
      </c>
      <c r="AF343" s="5">
        <v>90</v>
      </c>
      <c r="AG343" s="5">
        <v>0</v>
      </c>
      <c r="AH343" s="5">
        <v>0</v>
      </c>
      <c r="AI343" s="5">
        <v>0</v>
      </c>
      <c r="AJ343" s="5">
        <v>0</v>
      </c>
      <c r="AK343" s="5" t="s">
        <v>904</v>
      </c>
      <c r="AL343" s="5" t="s">
        <v>36</v>
      </c>
      <c r="AM343" s="5" t="s">
        <v>905</v>
      </c>
      <c r="AN343" s="5" t="s">
        <v>906</v>
      </c>
      <c r="AO343" s="5" t="s">
        <v>907</v>
      </c>
      <c r="AP343" s="5" t="s">
        <v>21</v>
      </c>
      <c r="AQ343" s="5" t="s">
        <v>908</v>
      </c>
      <c r="AR343" s="5" t="s">
        <v>909</v>
      </c>
      <c r="AS343" s="5" t="s">
        <v>6610</v>
      </c>
      <c r="AT343" s="5">
        <v>2025</v>
      </c>
      <c r="AU343" s="5" t="s">
        <v>21</v>
      </c>
      <c r="AV343" s="5" t="s">
        <v>21</v>
      </c>
      <c r="AW343" s="5" t="s">
        <v>21</v>
      </c>
      <c r="AX343" s="5" t="s">
        <v>21</v>
      </c>
      <c r="AY343" s="5" t="s">
        <v>21</v>
      </c>
      <c r="AZ343" s="5" t="s">
        <v>21</v>
      </c>
      <c r="BA343" s="5" t="s">
        <v>21</v>
      </c>
      <c r="BB343" s="5" t="s">
        <v>21</v>
      </c>
      <c r="BC343" s="5" t="s">
        <v>21</v>
      </c>
      <c r="BD343" s="5" t="s">
        <v>6611</v>
      </c>
      <c r="BE343" s="5" t="str">
        <f>HYPERLINK("http://dx.doi.org/10.1007/s10639-025-13561-1","http://dx.doi.org/10.1007/s10639-025-13561-1")</f>
        <v>http://dx.doi.org/10.1007/s10639-025-13561-1</v>
      </c>
      <c r="BF343" s="5" t="s">
        <v>21</v>
      </c>
      <c r="BG343" s="5" t="s">
        <v>6612</v>
      </c>
      <c r="BH343" s="5">
        <v>38</v>
      </c>
      <c r="BI343" s="5" t="s">
        <v>503</v>
      </c>
      <c r="BJ343" s="5" t="s">
        <v>45</v>
      </c>
      <c r="BK343" s="5" t="s">
        <v>503</v>
      </c>
      <c r="BL343" s="5" t="s">
        <v>6613</v>
      </c>
      <c r="BM343" s="5" t="s">
        <v>21</v>
      </c>
      <c r="BN343" s="5" t="s">
        <v>21</v>
      </c>
      <c r="BO343" s="5" t="s">
        <v>21</v>
      </c>
      <c r="BP343" s="5" t="s">
        <v>21</v>
      </c>
      <c r="BQ343" s="5" t="s">
        <v>49</v>
      </c>
      <c r="BR343" s="5" t="s">
        <v>6614</v>
      </c>
      <c r="BS343" s="5" t="str">
        <f>HYPERLINK("https%3A%2F%2Fwww.webofscience.com%2Fwos%2Fwoscc%2Ffull-record%2FWOS:001468258700001","View Full Record in Web of Science")</f>
        <v>View Full Record in Web of Science</v>
      </c>
    </row>
    <row r="344" spans="1:71" x14ac:dyDescent="0.25">
      <c r="A344" t="s">
        <v>19</v>
      </c>
      <c r="B344" s="5" t="s">
        <v>6615</v>
      </c>
      <c r="C344" s="5" t="s">
        <v>21</v>
      </c>
      <c r="D344" s="5" t="s">
        <v>21</v>
      </c>
      <c r="E344" s="5" t="s">
        <v>21</v>
      </c>
      <c r="F344" s="5" t="s">
        <v>6616</v>
      </c>
      <c r="G344" s="5" t="s">
        <v>21</v>
      </c>
      <c r="H344" s="5" t="s">
        <v>21</v>
      </c>
      <c r="I344" s="5" t="s">
        <v>6617</v>
      </c>
      <c r="J344" s="12" t="s">
        <v>550</v>
      </c>
      <c r="K344" s="5" t="s">
        <v>21</v>
      </c>
      <c r="L344" s="5" t="s">
        <v>21</v>
      </c>
      <c r="M344" s="5" t="s">
        <v>25</v>
      </c>
      <c r="N344" s="5" t="s">
        <v>26</v>
      </c>
      <c r="O344" s="5" t="s">
        <v>21</v>
      </c>
      <c r="P344" s="5" t="s">
        <v>21</v>
      </c>
      <c r="Q344" s="5" t="s">
        <v>21</v>
      </c>
      <c r="R344" s="5" t="s">
        <v>21</v>
      </c>
      <c r="S344" s="5" t="s">
        <v>21</v>
      </c>
      <c r="T344" s="5" t="s">
        <v>21</v>
      </c>
      <c r="U344" s="5" t="s">
        <v>6618</v>
      </c>
      <c r="V344" s="5" t="s">
        <v>6619</v>
      </c>
      <c r="W344" s="5" t="s">
        <v>6620</v>
      </c>
      <c r="X344" s="5" t="s">
        <v>6621</v>
      </c>
      <c r="Y344" s="5" t="s">
        <v>6622</v>
      </c>
      <c r="Z344" s="5" t="s">
        <v>6623</v>
      </c>
      <c r="AA344" s="5" t="s">
        <v>6624</v>
      </c>
      <c r="AB344" s="5" t="s">
        <v>6625</v>
      </c>
      <c r="AC344" s="5" t="s">
        <v>6626</v>
      </c>
      <c r="AD344" s="5" t="s">
        <v>6627</v>
      </c>
      <c r="AE344" s="5" t="s">
        <v>6628</v>
      </c>
      <c r="AF344" s="5">
        <v>70</v>
      </c>
      <c r="AG344" s="5">
        <v>0</v>
      </c>
      <c r="AH344" s="5">
        <v>0</v>
      </c>
      <c r="AI344" s="5">
        <v>0</v>
      </c>
      <c r="AJ344" s="5">
        <v>0</v>
      </c>
      <c r="AK344" s="5" t="s">
        <v>560</v>
      </c>
      <c r="AL344" s="5" t="s">
        <v>561</v>
      </c>
      <c r="AM344" s="5" t="s">
        <v>562</v>
      </c>
      <c r="AN344" s="5" t="s">
        <v>563</v>
      </c>
      <c r="AO344" s="5" t="s">
        <v>21</v>
      </c>
      <c r="AP344" s="5" t="s">
        <v>21</v>
      </c>
      <c r="AQ344" s="5" t="s">
        <v>550</v>
      </c>
      <c r="AR344" s="5" t="s">
        <v>564</v>
      </c>
      <c r="AS344" s="5" t="s">
        <v>6629</v>
      </c>
      <c r="AT344" s="5">
        <v>2025</v>
      </c>
      <c r="AU344" s="5">
        <v>20</v>
      </c>
      <c r="AV344" s="5">
        <v>4</v>
      </c>
      <c r="AW344" s="5" t="s">
        <v>21</v>
      </c>
      <c r="AX344" s="5" t="s">
        <v>21</v>
      </c>
      <c r="AY344" s="5" t="s">
        <v>21</v>
      </c>
      <c r="AZ344" s="5" t="s">
        <v>21</v>
      </c>
      <c r="BA344" s="5" t="s">
        <v>21</v>
      </c>
      <c r="BB344" s="5" t="s">
        <v>21</v>
      </c>
      <c r="BC344" s="5" t="s">
        <v>6630</v>
      </c>
      <c r="BD344" s="5" t="s">
        <v>6631</v>
      </c>
      <c r="BE344" s="5" t="str">
        <f>HYPERLINK("http://dx.doi.org/10.1371/journal.pone.0316502","http://dx.doi.org/10.1371/journal.pone.0316502")</f>
        <v>http://dx.doi.org/10.1371/journal.pone.0316502</v>
      </c>
      <c r="BF344" s="5" t="s">
        <v>21</v>
      </c>
      <c r="BG344" s="5" t="s">
        <v>21</v>
      </c>
      <c r="BH344" s="5">
        <v>14</v>
      </c>
      <c r="BI344" s="5" t="s">
        <v>568</v>
      </c>
      <c r="BJ344" s="5" t="s">
        <v>524</v>
      </c>
      <c r="BK344" s="5" t="s">
        <v>569</v>
      </c>
      <c r="BL344" s="5" t="s">
        <v>6632</v>
      </c>
      <c r="BM344" s="5">
        <v>40202982</v>
      </c>
      <c r="BN344" s="5" t="s">
        <v>5022</v>
      </c>
      <c r="BO344" s="5" t="s">
        <v>21</v>
      </c>
      <c r="BP344" s="5" t="s">
        <v>21</v>
      </c>
      <c r="BQ344" s="5" t="s">
        <v>49</v>
      </c>
      <c r="BR344" s="5" t="s">
        <v>6633</v>
      </c>
      <c r="BS344" s="5" t="str">
        <f>HYPERLINK("https%3A%2F%2Fwww.webofscience.com%2Fwos%2Fwoscc%2Ffull-record%2FWOS:001464256600021","View Full Record in Web of Science")</f>
        <v>View Full Record in Web of Science</v>
      </c>
    </row>
    <row r="345" spans="1:71" x14ac:dyDescent="0.25">
      <c r="A345" t="s">
        <v>19</v>
      </c>
      <c r="B345" s="5" t="s">
        <v>6634</v>
      </c>
      <c r="C345" s="5" t="s">
        <v>21</v>
      </c>
      <c r="D345" s="5" t="s">
        <v>21</v>
      </c>
      <c r="E345" s="5" t="s">
        <v>21</v>
      </c>
      <c r="F345" s="5" t="s">
        <v>6635</v>
      </c>
      <c r="G345" s="5" t="s">
        <v>21</v>
      </c>
      <c r="H345" s="5" t="s">
        <v>21</v>
      </c>
      <c r="I345" s="5" t="s">
        <v>6636</v>
      </c>
      <c r="J345" s="12" t="s">
        <v>894</v>
      </c>
      <c r="K345" s="5" t="s">
        <v>21</v>
      </c>
      <c r="L345" s="5" t="s">
        <v>21</v>
      </c>
      <c r="M345" s="5" t="s">
        <v>25</v>
      </c>
      <c r="N345" s="5" t="s">
        <v>2836</v>
      </c>
      <c r="O345" s="5" t="s">
        <v>21</v>
      </c>
      <c r="P345" s="5" t="s">
        <v>21</v>
      </c>
      <c r="Q345" s="5" t="s">
        <v>21</v>
      </c>
      <c r="R345" s="5" t="s">
        <v>21</v>
      </c>
      <c r="S345" s="5" t="s">
        <v>21</v>
      </c>
      <c r="T345" s="5" t="s">
        <v>6637</v>
      </c>
      <c r="U345" s="5" t="s">
        <v>6638</v>
      </c>
      <c r="V345" s="5" t="s">
        <v>6639</v>
      </c>
      <c r="W345" s="5" t="s">
        <v>6640</v>
      </c>
      <c r="X345" s="5" t="s">
        <v>6603</v>
      </c>
      <c r="Y345" s="5" t="s">
        <v>6604</v>
      </c>
      <c r="Z345" s="5" t="s">
        <v>6641</v>
      </c>
      <c r="AA345" s="5" t="s">
        <v>6642</v>
      </c>
      <c r="AB345" s="5" t="s">
        <v>21</v>
      </c>
      <c r="AC345" s="5" t="s">
        <v>5277</v>
      </c>
      <c r="AD345" s="5" t="s">
        <v>5278</v>
      </c>
      <c r="AE345" s="5" t="s">
        <v>6643</v>
      </c>
      <c r="AF345" s="5">
        <v>56</v>
      </c>
      <c r="AG345" s="5">
        <v>0</v>
      </c>
      <c r="AH345" s="5">
        <v>0</v>
      </c>
      <c r="AI345" s="5">
        <v>1</v>
      </c>
      <c r="AJ345" s="5">
        <v>1</v>
      </c>
      <c r="AK345" s="5" t="s">
        <v>904</v>
      </c>
      <c r="AL345" s="5" t="s">
        <v>36</v>
      </c>
      <c r="AM345" s="5" t="s">
        <v>905</v>
      </c>
      <c r="AN345" s="5" t="s">
        <v>906</v>
      </c>
      <c r="AO345" s="5" t="s">
        <v>907</v>
      </c>
      <c r="AP345" s="5" t="s">
        <v>21</v>
      </c>
      <c r="AQ345" s="5" t="s">
        <v>908</v>
      </c>
      <c r="AR345" s="5" t="s">
        <v>909</v>
      </c>
      <c r="AS345" s="5" t="s">
        <v>6644</v>
      </c>
      <c r="AT345" s="5">
        <v>2025</v>
      </c>
      <c r="AU345" s="5" t="s">
        <v>21</v>
      </c>
      <c r="AV345" s="5" t="s">
        <v>21</v>
      </c>
      <c r="AW345" s="5" t="s">
        <v>21</v>
      </c>
      <c r="AX345" s="5" t="s">
        <v>21</v>
      </c>
      <c r="AY345" s="5" t="s">
        <v>21</v>
      </c>
      <c r="AZ345" s="5" t="s">
        <v>21</v>
      </c>
      <c r="BA345" s="5" t="s">
        <v>21</v>
      </c>
      <c r="BB345" s="5" t="s">
        <v>21</v>
      </c>
      <c r="BC345" s="5" t="s">
        <v>21</v>
      </c>
      <c r="BD345" s="5" t="s">
        <v>6645</v>
      </c>
      <c r="BE345" s="5" t="str">
        <f>HYPERLINK("http://dx.doi.org/10.1007/s10639-025-13554-0","http://dx.doi.org/10.1007/s10639-025-13554-0")</f>
        <v>http://dx.doi.org/10.1007/s10639-025-13554-0</v>
      </c>
      <c r="BF345" s="5" t="s">
        <v>21</v>
      </c>
      <c r="BG345" s="5" t="s">
        <v>6612</v>
      </c>
      <c r="BH345" s="5">
        <v>20</v>
      </c>
      <c r="BI345" s="5" t="s">
        <v>503</v>
      </c>
      <c r="BJ345" s="5" t="s">
        <v>45</v>
      </c>
      <c r="BK345" s="5" t="s">
        <v>503</v>
      </c>
      <c r="BL345" s="5" t="s">
        <v>6646</v>
      </c>
      <c r="BM345" s="5" t="s">
        <v>21</v>
      </c>
      <c r="BN345" s="5" t="s">
        <v>21</v>
      </c>
      <c r="BO345" s="5" t="s">
        <v>21</v>
      </c>
      <c r="BP345" s="5" t="s">
        <v>21</v>
      </c>
      <c r="BQ345" s="5" t="s">
        <v>49</v>
      </c>
      <c r="BR345" s="5" t="s">
        <v>6647</v>
      </c>
      <c r="BS345" s="5" t="str">
        <f>HYPERLINK("https%3A%2F%2Fwww.webofscience.com%2Fwos%2Fwoscc%2Ffull-record%2FWOS:001459474100001","View Full Record in Web of Science")</f>
        <v>View Full Record in Web of Science</v>
      </c>
    </row>
    <row r="346" spans="1:71" x14ac:dyDescent="0.25">
      <c r="A346" t="s">
        <v>19</v>
      </c>
      <c r="B346" s="5" t="s">
        <v>6648</v>
      </c>
      <c r="C346" s="5" t="s">
        <v>21</v>
      </c>
      <c r="D346" s="5" t="s">
        <v>21</v>
      </c>
      <c r="E346" s="5" t="s">
        <v>21</v>
      </c>
      <c r="F346" s="5" t="s">
        <v>6649</v>
      </c>
      <c r="G346" s="5" t="s">
        <v>21</v>
      </c>
      <c r="H346" s="5" t="s">
        <v>21</v>
      </c>
      <c r="I346" s="5" t="s">
        <v>6650</v>
      </c>
      <c r="J346" s="12" t="s">
        <v>1443</v>
      </c>
      <c r="K346" s="5" t="s">
        <v>21</v>
      </c>
      <c r="L346" s="5" t="s">
        <v>21</v>
      </c>
      <c r="M346" s="5" t="s">
        <v>25</v>
      </c>
      <c r="N346" s="5" t="s">
        <v>2836</v>
      </c>
      <c r="O346" s="5" t="s">
        <v>21</v>
      </c>
      <c r="P346" s="5" t="s">
        <v>21</v>
      </c>
      <c r="Q346" s="5" t="s">
        <v>21</v>
      </c>
      <c r="R346" s="5" t="s">
        <v>21</v>
      </c>
      <c r="S346" s="5" t="s">
        <v>21</v>
      </c>
      <c r="T346" s="5" t="s">
        <v>6651</v>
      </c>
      <c r="U346" s="5" t="s">
        <v>6652</v>
      </c>
      <c r="V346" s="5" t="s">
        <v>6653</v>
      </c>
      <c r="W346" s="5" t="s">
        <v>6654</v>
      </c>
      <c r="X346" s="5" t="s">
        <v>6655</v>
      </c>
      <c r="Y346" s="5" t="s">
        <v>6656</v>
      </c>
      <c r="Z346" s="5" t="s">
        <v>6657</v>
      </c>
      <c r="AA346" s="5" t="s">
        <v>21</v>
      </c>
      <c r="AB346" s="5" t="s">
        <v>21</v>
      </c>
      <c r="AC346" s="5" t="s">
        <v>6658</v>
      </c>
      <c r="AD346" s="5" t="s">
        <v>6659</v>
      </c>
      <c r="AE346" s="5" t="s">
        <v>6660</v>
      </c>
      <c r="AF346" s="5">
        <v>84</v>
      </c>
      <c r="AG346" s="5">
        <v>0</v>
      </c>
      <c r="AH346" s="5">
        <v>0</v>
      </c>
      <c r="AI346" s="5">
        <v>2</v>
      </c>
      <c r="AJ346" s="5">
        <v>2</v>
      </c>
      <c r="AK346" s="5" t="s">
        <v>493</v>
      </c>
      <c r="AL346" s="5" t="s">
        <v>494</v>
      </c>
      <c r="AM346" s="5" t="s">
        <v>495</v>
      </c>
      <c r="AN346" s="5" t="s">
        <v>1453</v>
      </c>
      <c r="AO346" s="5" t="s">
        <v>1454</v>
      </c>
      <c r="AP346" s="5" t="s">
        <v>21</v>
      </c>
      <c r="AQ346" s="5" t="s">
        <v>1455</v>
      </c>
      <c r="AR346" s="5" t="s">
        <v>1456</v>
      </c>
      <c r="AS346" s="5" t="s">
        <v>6661</v>
      </c>
      <c r="AT346" s="5">
        <v>2025</v>
      </c>
      <c r="AU346" s="5" t="s">
        <v>21</v>
      </c>
      <c r="AV346" s="5" t="s">
        <v>21</v>
      </c>
      <c r="AW346" s="5" t="s">
        <v>21</v>
      </c>
      <c r="AX346" s="5" t="s">
        <v>21</v>
      </c>
      <c r="AY346" s="5" t="s">
        <v>21</v>
      </c>
      <c r="AZ346" s="5" t="s">
        <v>21</v>
      </c>
      <c r="BA346" s="5" t="s">
        <v>21</v>
      </c>
      <c r="BB346" s="5" t="s">
        <v>21</v>
      </c>
      <c r="BC346" s="5" t="s">
        <v>21</v>
      </c>
      <c r="BD346" s="5" t="s">
        <v>6662</v>
      </c>
      <c r="BE346" s="5" t="str">
        <f>HYPERLINK("http://dx.doi.org/10.1080/10494820.2025.2483416","http://dx.doi.org/10.1080/10494820.2025.2483416")</f>
        <v>http://dx.doi.org/10.1080/10494820.2025.2483416</v>
      </c>
      <c r="BF346" s="5" t="s">
        <v>21</v>
      </c>
      <c r="BG346" s="5" t="s">
        <v>6612</v>
      </c>
      <c r="BH346" s="5">
        <v>38</v>
      </c>
      <c r="BI346" s="5" t="s">
        <v>503</v>
      </c>
      <c r="BJ346" s="5" t="s">
        <v>45</v>
      </c>
      <c r="BK346" s="5" t="s">
        <v>503</v>
      </c>
      <c r="BL346" s="5" t="s">
        <v>6663</v>
      </c>
      <c r="BM346" s="5" t="s">
        <v>21</v>
      </c>
      <c r="BN346" s="5" t="s">
        <v>21</v>
      </c>
      <c r="BO346" s="5" t="s">
        <v>21</v>
      </c>
      <c r="BP346" s="5" t="s">
        <v>21</v>
      </c>
      <c r="BQ346" s="5" t="s">
        <v>49</v>
      </c>
      <c r="BR346" s="5" t="s">
        <v>6664</v>
      </c>
      <c r="BS346" s="5" t="str">
        <f>HYPERLINK("https%3A%2F%2Fwww.webofscience.com%2Fwos%2Fwoscc%2Ffull-record%2FWOS:001461262100001","View Full Record in Web of Science")</f>
        <v>View Full Record in Web of Science</v>
      </c>
    </row>
    <row r="347" spans="1:71" x14ac:dyDescent="0.25">
      <c r="A347" t="s">
        <v>19</v>
      </c>
      <c r="B347" s="5" t="s">
        <v>6665</v>
      </c>
      <c r="C347" s="5" t="s">
        <v>21</v>
      </c>
      <c r="D347" s="5" t="s">
        <v>21</v>
      </c>
      <c r="E347" s="5" t="s">
        <v>21</v>
      </c>
      <c r="F347" s="5" t="s">
        <v>6666</v>
      </c>
      <c r="G347" s="5" t="s">
        <v>21</v>
      </c>
      <c r="H347" s="5" t="s">
        <v>21</v>
      </c>
      <c r="I347" s="5" t="s">
        <v>6667</v>
      </c>
      <c r="J347" s="12" t="s">
        <v>1610</v>
      </c>
      <c r="K347" s="5" t="s">
        <v>21</v>
      </c>
      <c r="L347" s="5" t="s">
        <v>21</v>
      </c>
      <c r="M347" s="5" t="s">
        <v>25</v>
      </c>
      <c r="N347" s="5" t="s">
        <v>2836</v>
      </c>
      <c r="O347" s="5" t="s">
        <v>21</v>
      </c>
      <c r="P347" s="5" t="s">
        <v>21</v>
      </c>
      <c r="Q347" s="5" t="s">
        <v>21</v>
      </c>
      <c r="R347" s="5" t="s">
        <v>21</v>
      </c>
      <c r="S347" s="5" t="s">
        <v>21</v>
      </c>
      <c r="T347" s="5" t="s">
        <v>6668</v>
      </c>
      <c r="U347" s="5" t="s">
        <v>6669</v>
      </c>
      <c r="V347" s="5" t="s">
        <v>6670</v>
      </c>
      <c r="W347" s="5" t="s">
        <v>6671</v>
      </c>
      <c r="X347" s="5" t="s">
        <v>6672</v>
      </c>
      <c r="Y347" s="5" t="s">
        <v>6673</v>
      </c>
      <c r="Z347" s="5" t="s">
        <v>6674</v>
      </c>
      <c r="AA347" s="5" t="s">
        <v>21</v>
      </c>
      <c r="AB347" s="5" t="s">
        <v>21</v>
      </c>
      <c r="AC347" s="5" t="s">
        <v>6675</v>
      </c>
      <c r="AD347" s="5" t="s">
        <v>6675</v>
      </c>
      <c r="AE347" s="5" t="s">
        <v>6676</v>
      </c>
      <c r="AF347" s="5">
        <v>100</v>
      </c>
      <c r="AG347" s="5">
        <v>0</v>
      </c>
      <c r="AH347" s="5">
        <v>0</v>
      </c>
      <c r="AI347" s="5">
        <v>3</v>
      </c>
      <c r="AJ347" s="5">
        <v>3</v>
      </c>
      <c r="AK347" s="5" t="s">
        <v>1623</v>
      </c>
      <c r="AL347" s="5" t="s">
        <v>1624</v>
      </c>
      <c r="AM347" s="5" t="s">
        <v>1625</v>
      </c>
      <c r="AN347" s="5" t="s">
        <v>1626</v>
      </c>
      <c r="AO347" s="5" t="s">
        <v>1627</v>
      </c>
      <c r="AP347" s="5" t="s">
        <v>21</v>
      </c>
      <c r="AQ347" s="5" t="s">
        <v>1628</v>
      </c>
      <c r="AR347" s="5" t="s">
        <v>1629</v>
      </c>
      <c r="AS347" s="5" t="s">
        <v>6677</v>
      </c>
      <c r="AT347" s="5">
        <v>2025</v>
      </c>
      <c r="AU347" s="5" t="s">
        <v>21</v>
      </c>
      <c r="AV347" s="5" t="s">
        <v>21</v>
      </c>
      <c r="AW347" s="5" t="s">
        <v>21</v>
      </c>
      <c r="AX347" s="5" t="s">
        <v>21</v>
      </c>
      <c r="AY347" s="5" t="s">
        <v>21</v>
      </c>
      <c r="AZ347" s="5" t="s">
        <v>21</v>
      </c>
      <c r="BA347" s="5" t="s">
        <v>21</v>
      </c>
      <c r="BB347" s="5" t="s">
        <v>21</v>
      </c>
      <c r="BC347" s="5" t="s">
        <v>21</v>
      </c>
      <c r="BD347" s="5" t="s">
        <v>6678</v>
      </c>
      <c r="BE347" s="5" t="str">
        <f>HYPERLINK("http://dx.doi.org/10.1007/s10209-025-01206-6","http://dx.doi.org/10.1007/s10209-025-01206-6")</f>
        <v>http://dx.doi.org/10.1007/s10209-025-01206-6</v>
      </c>
      <c r="BF347" s="5" t="s">
        <v>21</v>
      </c>
      <c r="BG347" s="5" t="s">
        <v>6679</v>
      </c>
      <c r="BH347" s="5">
        <v>22</v>
      </c>
      <c r="BI347" s="5" t="s">
        <v>1580</v>
      </c>
      <c r="BJ347" s="5" t="s">
        <v>92</v>
      </c>
      <c r="BK347" s="5" t="s">
        <v>1581</v>
      </c>
      <c r="BL347" s="5" t="s">
        <v>6680</v>
      </c>
      <c r="BM347" s="5" t="s">
        <v>21</v>
      </c>
      <c r="BN347" s="5" t="s">
        <v>21</v>
      </c>
      <c r="BO347" s="5" t="s">
        <v>21</v>
      </c>
      <c r="BP347" s="5" t="s">
        <v>21</v>
      </c>
      <c r="BQ347" s="5" t="s">
        <v>49</v>
      </c>
      <c r="BR347" s="5" t="s">
        <v>6681</v>
      </c>
      <c r="BS347" s="5" t="str">
        <f>HYPERLINK("https%3A%2F%2Fwww.webofscience.com%2Fwos%2Fwoscc%2Ffull-record%2FWOS:001449362500001","View Full Record in Web of Science")</f>
        <v>View Full Record in Web of Science</v>
      </c>
    </row>
    <row r="348" spans="1:71" x14ac:dyDescent="0.25">
      <c r="A348" t="s">
        <v>19</v>
      </c>
      <c r="B348" s="5" t="s">
        <v>6682</v>
      </c>
      <c r="C348" s="5" t="s">
        <v>21</v>
      </c>
      <c r="D348" s="5" t="s">
        <v>21</v>
      </c>
      <c r="E348" s="5" t="s">
        <v>21</v>
      </c>
      <c r="F348" s="5" t="s">
        <v>6683</v>
      </c>
      <c r="G348" s="5" t="s">
        <v>21</v>
      </c>
      <c r="H348" s="5" t="s">
        <v>21</v>
      </c>
      <c r="I348" s="5" t="s">
        <v>6684</v>
      </c>
      <c r="J348" s="12" t="s">
        <v>6685</v>
      </c>
      <c r="K348" s="5" t="s">
        <v>21</v>
      </c>
      <c r="L348" s="5" t="s">
        <v>21</v>
      </c>
      <c r="M348" s="5" t="s">
        <v>25</v>
      </c>
      <c r="N348" s="5" t="s">
        <v>76</v>
      </c>
      <c r="O348" s="5" t="s">
        <v>21</v>
      </c>
      <c r="P348" s="5" t="s">
        <v>21</v>
      </c>
      <c r="Q348" s="5" t="s">
        <v>21</v>
      </c>
      <c r="R348" s="5" t="s">
        <v>21</v>
      </c>
      <c r="S348" s="5" t="s">
        <v>21</v>
      </c>
      <c r="T348" s="5" t="s">
        <v>6686</v>
      </c>
      <c r="U348" s="5" t="s">
        <v>6687</v>
      </c>
      <c r="V348" s="5" t="s">
        <v>6688</v>
      </c>
      <c r="W348" s="5" t="s">
        <v>6689</v>
      </c>
      <c r="X348" s="5" t="s">
        <v>6690</v>
      </c>
      <c r="Y348" s="5" t="s">
        <v>6691</v>
      </c>
      <c r="Z348" s="5" t="s">
        <v>6692</v>
      </c>
      <c r="AA348" s="5" t="s">
        <v>6693</v>
      </c>
      <c r="AB348" s="5" t="s">
        <v>6694</v>
      </c>
      <c r="AC348" s="5" t="s">
        <v>21</v>
      </c>
      <c r="AD348" s="5" t="s">
        <v>21</v>
      </c>
      <c r="AE348" s="5" t="s">
        <v>21</v>
      </c>
      <c r="AF348" s="5">
        <v>97</v>
      </c>
      <c r="AG348" s="5">
        <v>0</v>
      </c>
      <c r="AH348" s="5">
        <v>0</v>
      </c>
      <c r="AI348" s="5">
        <v>3</v>
      </c>
      <c r="AJ348" s="5">
        <v>3</v>
      </c>
      <c r="AK348" s="5" t="s">
        <v>193</v>
      </c>
      <c r="AL348" s="5" t="s">
        <v>194</v>
      </c>
      <c r="AM348" s="5" t="s">
        <v>1413</v>
      </c>
      <c r="AN348" s="5" t="s">
        <v>21</v>
      </c>
      <c r="AO348" s="5" t="s">
        <v>6695</v>
      </c>
      <c r="AP348" s="5" t="s">
        <v>21</v>
      </c>
      <c r="AQ348" s="5" t="s">
        <v>6696</v>
      </c>
      <c r="AR348" s="5" t="s">
        <v>6697</v>
      </c>
      <c r="AS348" s="5" t="s">
        <v>5941</v>
      </c>
      <c r="AT348" s="5">
        <v>2025</v>
      </c>
      <c r="AU348" s="5">
        <v>15</v>
      </c>
      <c r="AV348" s="5">
        <v>3</v>
      </c>
      <c r="AW348" s="5" t="s">
        <v>21</v>
      </c>
      <c r="AX348" s="5" t="s">
        <v>21</v>
      </c>
      <c r="AY348" s="5" t="s">
        <v>21</v>
      </c>
      <c r="AZ348" s="5" t="s">
        <v>21</v>
      </c>
      <c r="BA348" s="5" t="s">
        <v>21</v>
      </c>
      <c r="BB348" s="5" t="s">
        <v>21</v>
      </c>
      <c r="BC348" s="5">
        <v>33</v>
      </c>
      <c r="BD348" s="5" t="s">
        <v>6698</v>
      </c>
      <c r="BE348" s="5" t="str">
        <f>HYPERLINK("http://dx.doi.org/10.3390/ejihpe15030033","http://dx.doi.org/10.3390/ejihpe15030033")</f>
        <v>http://dx.doi.org/10.3390/ejihpe15030033</v>
      </c>
      <c r="BF348" s="5" t="s">
        <v>21</v>
      </c>
      <c r="BG348" s="5" t="s">
        <v>21</v>
      </c>
      <c r="BH348" s="5">
        <v>24</v>
      </c>
      <c r="BI348" s="5" t="s">
        <v>992</v>
      </c>
      <c r="BJ348" s="5" t="s">
        <v>1907</v>
      </c>
      <c r="BK348" s="5" t="s">
        <v>46</v>
      </c>
      <c r="BL348" s="5" t="s">
        <v>6699</v>
      </c>
      <c r="BM348" s="5">
        <v>40136772</v>
      </c>
      <c r="BN348" s="5" t="s">
        <v>1909</v>
      </c>
      <c r="BO348" s="5" t="s">
        <v>21</v>
      </c>
      <c r="BP348" s="5" t="s">
        <v>21</v>
      </c>
      <c r="BQ348" s="5" t="s">
        <v>49</v>
      </c>
      <c r="BR348" s="5" t="s">
        <v>6700</v>
      </c>
      <c r="BS348" s="5" t="str">
        <f>HYPERLINK("https%3A%2F%2Fwww.webofscience.com%2Fwos%2Fwoscc%2Ffull-record%2FWOS:001453904800001","View Full Record in Web of Science")</f>
        <v>View Full Record in Web of Science</v>
      </c>
    </row>
    <row r="349" spans="1:71" x14ac:dyDescent="0.25">
      <c r="A349" t="s">
        <v>19</v>
      </c>
      <c r="B349" s="5" t="s">
        <v>6701</v>
      </c>
      <c r="C349" s="5" t="s">
        <v>21</v>
      </c>
      <c r="D349" s="5" t="s">
        <v>21</v>
      </c>
      <c r="E349" s="5" t="s">
        <v>21</v>
      </c>
      <c r="F349" s="5" t="s">
        <v>6702</v>
      </c>
      <c r="G349" s="5" t="s">
        <v>21</v>
      </c>
      <c r="H349" s="5" t="s">
        <v>21</v>
      </c>
      <c r="I349" s="5" t="s">
        <v>6703</v>
      </c>
      <c r="J349" s="12" t="s">
        <v>6704</v>
      </c>
      <c r="K349" s="5" t="s">
        <v>21</v>
      </c>
      <c r="L349" s="5" t="s">
        <v>21</v>
      </c>
      <c r="M349" s="5" t="s">
        <v>25</v>
      </c>
      <c r="N349" s="5" t="s">
        <v>2836</v>
      </c>
      <c r="O349" s="5" t="s">
        <v>21</v>
      </c>
      <c r="P349" s="5" t="s">
        <v>21</v>
      </c>
      <c r="Q349" s="5" t="s">
        <v>21</v>
      </c>
      <c r="R349" s="5" t="s">
        <v>21</v>
      </c>
      <c r="S349" s="5" t="s">
        <v>21</v>
      </c>
      <c r="T349" s="5" t="s">
        <v>6705</v>
      </c>
      <c r="U349" s="5" t="s">
        <v>6706</v>
      </c>
      <c r="V349" s="5" t="s">
        <v>6707</v>
      </c>
      <c r="W349" s="5" t="s">
        <v>6708</v>
      </c>
      <c r="X349" s="5" t="s">
        <v>6709</v>
      </c>
      <c r="Y349" s="5" t="s">
        <v>6710</v>
      </c>
      <c r="Z349" s="5" t="s">
        <v>6711</v>
      </c>
      <c r="AA349" s="5" t="s">
        <v>6712</v>
      </c>
      <c r="AB349" s="5" t="s">
        <v>6713</v>
      </c>
      <c r="AC349" s="5" t="s">
        <v>21</v>
      </c>
      <c r="AD349" s="5" t="s">
        <v>21</v>
      </c>
      <c r="AE349" s="5" t="s">
        <v>21</v>
      </c>
      <c r="AF349" s="5">
        <v>44</v>
      </c>
      <c r="AG349" s="5">
        <v>0</v>
      </c>
      <c r="AH349" s="5">
        <v>0</v>
      </c>
      <c r="AI349" s="5">
        <v>5</v>
      </c>
      <c r="AJ349" s="5">
        <v>5</v>
      </c>
      <c r="AK349" s="5" t="s">
        <v>584</v>
      </c>
      <c r="AL349" s="5" t="s">
        <v>585</v>
      </c>
      <c r="AM349" s="5" t="s">
        <v>586</v>
      </c>
      <c r="AN349" s="5" t="s">
        <v>6714</v>
      </c>
      <c r="AO349" s="5" t="s">
        <v>6715</v>
      </c>
      <c r="AP349" s="5" t="s">
        <v>21</v>
      </c>
      <c r="AQ349" s="5" t="s">
        <v>6716</v>
      </c>
      <c r="AR349" s="5" t="s">
        <v>6717</v>
      </c>
      <c r="AS349" s="5" t="s">
        <v>6718</v>
      </c>
      <c r="AT349" s="5">
        <v>2025</v>
      </c>
      <c r="AU349" s="5" t="s">
        <v>21</v>
      </c>
      <c r="AV349" s="5" t="s">
        <v>21</v>
      </c>
      <c r="AW349" s="5" t="s">
        <v>21</v>
      </c>
      <c r="AX349" s="5" t="s">
        <v>21</v>
      </c>
      <c r="AY349" s="5" t="s">
        <v>21</v>
      </c>
      <c r="AZ349" s="5" t="s">
        <v>21</v>
      </c>
      <c r="BA349" s="5" t="s">
        <v>21</v>
      </c>
      <c r="BB349" s="5" t="s">
        <v>21</v>
      </c>
      <c r="BC349" s="5" t="s">
        <v>21</v>
      </c>
      <c r="BD349" s="5" t="s">
        <v>6719</v>
      </c>
      <c r="BE349" s="5" t="str">
        <f>HYPERLINK("http://dx.doi.org/10.1080/01942638.2025.2466555","http://dx.doi.org/10.1080/01942638.2025.2466555")</f>
        <v>http://dx.doi.org/10.1080/01942638.2025.2466555</v>
      </c>
      <c r="BF349" s="5" t="s">
        <v>21</v>
      </c>
      <c r="BG349" s="5" t="s">
        <v>6679</v>
      </c>
      <c r="BH349" s="5">
        <v>14</v>
      </c>
      <c r="BI349" s="5" t="s">
        <v>6720</v>
      </c>
      <c r="BJ349" s="5" t="s">
        <v>92</v>
      </c>
      <c r="BK349" s="5" t="s">
        <v>6720</v>
      </c>
      <c r="BL349" s="5" t="s">
        <v>6721</v>
      </c>
      <c r="BM349" s="5">
        <v>40051021</v>
      </c>
      <c r="BN349" s="5" t="s">
        <v>21</v>
      </c>
      <c r="BO349" s="5" t="s">
        <v>21</v>
      </c>
      <c r="BP349" s="5" t="s">
        <v>21</v>
      </c>
      <c r="BQ349" s="5" t="s">
        <v>49</v>
      </c>
      <c r="BR349" s="5" t="s">
        <v>6722</v>
      </c>
      <c r="BS349" s="5" t="str">
        <f>HYPERLINK("https%3A%2F%2Fwww.webofscience.com%2Fwos%2Fwoscc%2Ffull-record%2FWOS:001439629900001","View Full Record in Web of Science")</f>
        <v>View Full Record in Web of Science</v>
      </c>
    </row>
    <row r="350" spans="1:71" x14ac:dyDescent="0.25">
      <c r="A350" t="s">
        <v>19</v>
      </c>
      <c r="B350" s="5" t="s">
        <v>6723</v>
      </c>
      <c r="C350" s="5" t="s">
        <v>21</v>
      </c>
      <c r="D350" s="5" t="s">
        <v>21</v>
      </c>
      <c r="E350" s="5" t="s">
        <v>21</v>
      </c>
      <c r="F350" s="5" t="s">
        <v>6724</v>
      </c>
      <c r="G350" s="5" t="s">
        <v>21</v>
      </c>
      <c r="H350" s="5" t="s">
        <v>21</v>
      </c>
      <c r="I350" s="5" t="s">
        <v>6725</v>
      </c>
      <c r="J350" s="12" t="s">
        <v>6726</v>
      </c>
      <c r="K350" s="5" t="s">
        <v>21</v>
      </c>
      <c r="L350" s="5" t="s">
        <v>21</v>
      </c>
      <c r="M350" s="5" t="s">
        <v>25</v>
      </c>
      <c r="N350" s="5" t="s">
        <v>26</v>
      </c>
      <c r="O350" s="5" t="s">
        <v>21</v>
      </c>
      <c r="P350" s="5" t="s">
        <v>21</v>
      </c>
      <c r="Q350" s="5" t="s">
        <v>21</v>
      </c>
      <c r="R350" s="5" t="s">
        <v>21</v>
      </c>
      <c r="S350" s="5" t="s">
        <v>21</v>
      </c>
      <c r="T350" s="5" t="s">
        <v>6727</v>
      </c>
      <c r="U350" s="5" t="s">
        <v>6728</v>
      </c>
      <c r="V350" s="5" t="s">
        <v>6729</v>
      </c>
      <c r="W350" s="5" t="s">
        <v>6730</v>
      </c>
      <c r="X350" s="5" t="s">
        <v>6731</v>
      </c>
      <c r="Y350" s="5" t="s">
        <v>6732</v>
      </c>
      <c r="Z350" s="5" t="s">
        <v>6733</v>
      </c>
      <c r="AA350" s="5" t="s">
        <v>21</v>
      </c>
      <c r="AB350" s="5" t="s">
        <v>21</v>
      </c>
      <c r="AC350" s="5" t="s">
        <v>6734</v>
      </c>
      <c r="AD350" s="5" t="s">
        <v>6735</v>
      </c>
      <c r="AE350" s="5" t="s">
        <v>6736</v>
      </c>
      <c r="AF350" s="5">
        <v>63</v>
      </c>
      <c r="AG350" s="5">
        <v>0</v>
      </c>
      <c r="AH350" s="5">
        <v>0</v>
      </c>
      <c r="AI350" s="5">
        <v>3</v>
      </c>
      <c r="AJ350" s="5">
        <v>3</v>
      </c>
      <c r="AK350" s="5" t="s">
        <v>1133</v>
      </c>
      <c r="AL350" s="5" t="s">
        <v>1134</v>
      </c>
      <c r="AM350" s="5" t="s">
        <v>1135</v>
      </c>
      <c r="AN350" s="5" t="s">
        <v>21</v>
      </c>
      <c r="AO350" s="5" t="s">
        <v>6737</v>
      </c>
      <c r="AP350" s="5" t="s">
        <v>21</v>
      </c>
      <c r="AQ350" s="5" t="s">
        <v>6738</v>
      </c>
      <c r="AR350" s="5" t="s">
        <v>6739</v>
      </c>
      <c r="AS350" s="5" t="s">
        <v>176</v>
      </c>
      <c r="AT350" s="5">
        <v>2025</v>
      </c>
      <c r="AU350" s="5">
        <v>5</v>
      </c>
      <c r="AV350" s="5">
        <v>1</v>
      </c>
      <c r="AW350" s="5" t="s">
        <v>21</v>
      </c>
      <c r="AX350" s="5" t="s">
        <v>21</v>
      </c>
      <c r="AY350" s="5" t="s">
        <v>21</v>
      </c>
      <c r="AZ350" s="5" t="s">
        <v>21</v>
      </c>
      <c r="BA350" s="5" t="s">
        <v>21</v>
      </c>
      <c r="BB350" s="5" t="s">
        <v>21</v>
      </c>
      <c r="BC350" s="5">
        <v>100234</v>
      </c>
      <c r="BD350" s="5" t="s">
        <v>6740</v>
      </c>
      <c r="BE350" s="5" t="str">
        <f>HYPERLINK("http://dx.doi.org/10.1016/j.hcc.2024.100234","http://dx.doi.org/10.1016/j.hcc.2024.100234")</f>
        <v>http://dx.doi.org/10.1016/j.hcc.2024.100234</v>
      </c>
      <c r="BF350" s="5" t="s">
        <v>21</v>
      </c>
      <c r="BG350" s="5" t="s">
        <v>21</v>
      </c>
      <c r="BH350" s="5">
        <v>13</v>
      </c>
      <c r="BI350" s="5" t="s">
        <v>6741</v>
      </c>
      <c r="BJ350" s="5" t="s">
        <v>1907</v>
      </c>
      <c r="BK350" s="5" t="s">
        <v>715</v>
      </c>
      <c r="BL350" s="5" t="s">
        <v>6742</v>
      </c>
      <c r="BM350" s="5" t="s">
        <v>21</v>
      </c>
      <c r="BN350" s="5" t="s">
        <v>1909</v>
      </c>
      <c r="BO350" s="5" t="s">
        <v>21</v>
      </c>
      <c r="BP350" s="5" t="s">
        <v>21</v>
      </c>
      <c r="BQ350" s="5" t="s">
        <v>49</v>
      </c>
      <c r="BR350" s="5" t="s">
        <v>6743</v>
      </c>
      <c r="BS350" s="5" t="str">
        <f>HYPERLINK("https%3A%2F%2Fwww.webofscience.com%2Fwos%2Fwoscc%2Ffull-record%2FWOS:001408659600001","View Full Record in Web of Science")</f>
        <v>View Full Record in Web of Science</v>
      </c>
    </row>
    <row r="351" spans="1:71" x14ac:dyDescent="0.25">
      <c r="A351" t="s">
        <v>19</v>
      </c>
      <c r="B351" s="5" t="s">
        <v>6744</v>
      </c>
      <c r="C351" s="5" t="s">
        <v>21</v>
      </c>
      <c r="D351" s="5" t="s">
        <v>21</v>
      </c>
      <c r="E351" s="5" t="s">
        <v>21</v>
      </c>
      <c r="F351" s="5" t="s">
        <v>6745</v>
      </c>
      <c r="G351" s="5" t="s">
        <v>21</v>
      </c>
      <c r="H351" s="5" t="s">
        <v>21</v>
      </c>
      <c r="I351" s="5" t="s">
        <v>6746</v>
      </c>
      <c r="J351" s="12" t="s">
        <v>24</v>
      </c>
      <c r="K351" s="5" t="s">
        <v>21</v>
      </c>
      <c r="L351" s="5" t="s">
        <v>21</v>
      </c>
      <c r="M351" s="5" t="s">
        <v>25</v>
      </c>
      <c r="N351" s="5" t="s">
        <v>2836</v>
      </c>
      <c r="O351" s="5" t="s">
        <v>21</v>
      </c>
      <c r="P351" s="5" t="s">
        <v>21</v>
      </c>
      <c r="Q351" s="5" t="s">
        <v>21</v>
      </c>
      <c r="R351" s="5" t="s">
        <v>21</v>
      </c>
      <c r="S351" s="5" t="s">
        <v>21</v>
      </c>
      <c r="T351" s="5" t="s">
        <v>6747</v>
      </c>
      <c r="U351" s="5" t="s">
        <v>6748</v>
      </c>
      <c r="V351" s="5" t="s">
        <v>6749</v>
      </c>
      <c r="W351" s="5" t="s">
        <v>6750</v>
      </c>
      <c r="X351" s="5" t="s">
        <v>6751</v>
      </c>
      <c r="Y351" s="5" t="s">
        <v>6752</v>
      </c>
      <c r="Z351" s="5" t="s">
        <v>6753</v>
      </c>
      <c r="AA351" s="5" t="s">
        <v>6754</v>
      </c>
      <c r="AB351" s="5" t="s">
        <v>6755</v>
      </c>
      <c r="AC351" s="5" t="s">
        <v>6756</v>
      </c>
      <c r="AD351" s="5" t="s">
        <v>6756</v>
      </c>
      <c r="AE351" s="5" t="s">
        <v>6757</v>
      </c>
      <c r="AF351" s="5">
        <v>93</v>
      </c>
      <c r="AG351" s="5">
        <v>0</v>
      </c>
      <c r="AH351" s="5">
        <v>0</v>
      </c>
      <c r="AI351" s="5">
        <v>18</v>
      </c>
      <c r="AJ351" s="5">
        <v>18</v>
      </c>
      <c r="AK351" s="5" t="s">
        <v>35</v>
      </c>
      <c r="AL351" s="5" t="s">
        <v>36</v>
      </c>
      <c r="AM351" s="5" t="s">
        <v>37</v>
      </c>
      <c r="AN351" s="5" t="s">
        <v>38</v>
      </c>
      <c r="AO351" s="5" t="s">
        <v>39</v>
      </c>
      <c r="AP351" s="5" t="s">
        <v>21</v>
      </c>
      <c r="AQ351" s="5" t="s">
        <v>40</v>
      </c>
      <c r="AR351" s="5" t="s">
        <v>41</v>
      </c>
      <c r="AS351" s="5" t="s">
        <v>6758</v>
      </c>
      <c r="AT351" s="5">
        <v>2025</v>
      </c>
      <c r="AU351" s="5" t="s">
        <v>21</v>
      </c>
      <c r="AV351" s="5" t="s">
        <v>21</v>
      </c>
      <c r="AW351" s="5" t="s">
        <v>21</v>
      </c>
      <c r="AX351" s="5" t="s">
        <v>21</v>
      </c>
      <c r="AY351" s="5" t="s">
        <v>21</v>
      </c>
      <c r="AZ351" s="5" t="s">
        <v>21</v>
      </c>
      <c r="BA351" s="5" t="s">
        <v>21</v>
      </c>
      <c r="BB351" s="5" t="s">
        <v>21</v>
      </c>
      <c r="BC351" s="5" t="s">
        <v>21</v>
      </c>
      <c r="BD351" s="5" t="s">
        <v>6759</v>
      </c>
      <c r="BE351" s="5" t="str">
        <f>HYPERLINK("http://dx.doi.org/10.1007/s10803-025-06741-y","http://dx.doi.org/10.1007/s10803-025-06741-y")</f>
        <v>http://dx.doi.org/10.1007/s10803-025-06741-y</v>
      </c>
      <c r="BF351" s="5" t="s">
        <v>21</v>
      </c>
      <c r="BG351" s="5" t="s">
        <v>6760</v>
      </c>
      <c r="BH351" s="5">
        <v>24</v>
      </c>
      <c r="BI351" s="5" t="s">
        <v>44</v>
      </c>
      <c r="BJ351" s="5" t="s">
        <v>45</v>
      </c>
      <c r="BK351" s="5" t="s">
        <v>46</v>
      </c>
      <c r="BL351" s="5" t="s">
        <v>6761</v>
      </c>
      <c r="BM351" s="5">
        <v>39907930</v>
      </c>
      <c r="BN351" s="5" t="s">
        <v>120</v>
      </c>
      <c r="BO351" s="5" t="s">
        <v>21</v>
      </c>
      <c r="BP351" s="5" t="s">
        <v>21</v>
      </c>
      <c r="BQ351" s="5" t="s">
        <v>49</v>
      </c>
      <c r="BR351" s="5" t="s">
        <v>6762</v>
      </c>
      <c r="BS351" s="5" t="str">
        <f>HYPERLINK("https%3A%2F%2Fwww.webofscience.com%2Fwos%2Fwoscc%2Ffull-record%2FWOS:001415190400001","View Full Record in Web of Science")</f>
        <v>View Full Record in Web of Science</v>
      </c>
    </row>
    <row r="352" spans="1:71" x14ac:dyDescent="0.25">
      <c r="A352" t="s">
        <v>19</v>
      </c>
      <c r="B352" s="5" t="s">
        <v>6763</v>
      </c>
      <c r="C352" s="5" t="s">
        <v>21</v>
      </c>
      <c r="D352" s="5" t="s">
        <v>21</v>
      </c>
      <c r="E352" s="5" t="s">
        <v>21</v>
      </c>
      <c r="F352" s="5" t="s">
        <v>6764</v>
      </c>
      <c r="G352" s="5" t="s">
        <v>21</v>
      </c>
      <c r="H352" s="5" t="s">
        <v>21</v>
      </c>
      <c r="I352" s="5" t="s">
        <v>6765</v>
      </c>
      <c r="J352" s="12" t="s">
        <v>1403</v>
      </c>
      <c r="K352" s="5" t="s">
        <v>21</v>
      </c>
      <c r="L352" s="5" t="s">
        <v>21</v>
      </c>
      <c r="M352" s="5" t="s">
        <v>25</v>
      </c>
      <c r="N352" s="5" t="s">
        <v>26</v>
      </c>
      <c r="O352" s="5" t="s">
        <v>21</v>
      </c>
      <c r="P352" s="5" t="s">
        <v>21</v>
      </c>
      <c r="Q352" s="5" t="s">
        <v>21</v>
      </c>
      <c r="R352" s="5" t="s">
        <v>21</v>
      </c>
      <c r="S352" s="5" t="s">
        <v>21</v>
      </c>
      <c r="T352" s="5" t="s">
        <v>6766</v>
      </c>
      <c r="U352" s="5" t="s">
        <v>6767</v>
      </c>
      <c r="V352" s="5" t="s">
        <v>6768</v>
      </c>
      <c r="W352" s="5" t="s">
        <v>6769</v>
      </c>
      <c r="X352" s="5" t="s">
        <v>6770</v>
      </c>
      <c r="Y352" s="5" t="s">
        <v>6771</v>
      </c>
      <c r="Z352" s="5" t="s">
        <v>6772</v>
      </c>
      <c r="AA352" s="5" t="s">
        <v>21</v>
      </c>
      <c r="AB352" s="5" t="s">
        <v>21</v>
      </c>
      <c r="AC352" s="5" t="s">
        <v>6773</v>
      </c>
      <c r="AD352" s="5" t="s">
        <v>6774</v>
      </c>
      <c r="AE352" s="5" t="s">
        <v>6775</v>
      </c>
      <c r="AF352" s="5">
        <v>44</v>
      </c>
      <c r="AG352" s="5">
        <v>0</v>
      </c>
      <c r="AH352" s="5">
        <v>0</v>
      </c>
      <c r="AI352" s="5">
        <v>3</v>
      </c>
      <c r="AJ352" s="5">
        <v>3</v>
      </c>
      <c r="AK352" s="5" t="s">
        <v>193</v>
      </c>
      <c r="AL352" s="5" t="s">
        <v>194</v>
      </c>
      <c r="AM352" s="5" t="s">
        <v>1413</v>
      </c>
      <c r="AN352" s="5" t="s">
        <v>21</v>
      </c>
      <c r="AO352" s="5" t="s">
        <v>1414</v>
      </c>
      <c r="AP352" s="5" t="s">
        <v>21</v>
      </c>
      <c r="AQ352" s="5" t="s">
        <v>1403</v>
      </c>
      <c r="AR352" s="5" t="s">
        <v>1415</v>
      </c>
      <c r="AS352" s="5" t="s">
        <v>334</v>
      </c>
      <c r="AT352" s="5">
        <v>2025</v>
      </c>
      <c r="AU352" s="5">
        <v>12</v>
      </c>
      <c r="AV352" s="5">
        <v>2</v>
      </c>
      <c r="AW352" s="5" t="s">
        <v>21</v>
      </c>
      <c r="AX352" s="5" t="s">
        <v>21</v>
      </c>
      <c r="AY352" s="5" t="s">
        <v>21</v>
      </c>
      <c r="AZ352" s="5" t="s">
        <v>21</v>
      </c>
      <c r="BA352" s="5" t="s">
        <v>21</v>
      </c>
      <c r="BB352" s="5" t="s">
        <v>21</v>
      </c>
      <c r="BC352" s="5">
        <v>173</v>
      </c>
      <c r="BD352" s="5" t="s">
        <v>6776</v>
      </c>
      <c r="BE352" s="5" t="str">
        <f>HYPERLINK("http://dx.doi.org/10.3390/children12020173","http://dx.doi.org/10.3390/children12020173")</f>
        <v>http://dx.doi.org/10.3390/children12020173</v>
      </c>
      <c r="BF352" s="5" t="s">
        <v>21</v>
      </c>
      <c r="BG352" s="5" t="s">
        <v>21</v>
      </c>
      <c r="BH352" s="5">
        <v>16</v>
      </c>
      <c r="BI352" s="5" t="s">
        <v>1417</v>
      </c>
      <c r="BJ352" s="5" t="s">
        <v>524</v>
      </c>
      <c r="BK352" s="5" t="s">
        <v>1417</v>
      </c>
      <c r="BL352" s="5" t="s">
        <v>6777</v>
      </c>
      <c r="BM352" s="5">
        <v>40003275</v>
      </c>
      <c r="BN352" s="5" t="s">
        <v>1909</v>
      </c>
      <c r="BO352" s="5" t="s">
        <v>21</v>
      </c>
      <c r="BP352" s="5" t="s">
        <v>21</v>
      </c>
      <c r="BQ352" s="5" t="s">
        <v>49</v>
      </c>
      <c r="BR352" s="5" t="s">
        <v>6778</v>
      </c>
      <c r="BS352" s="5" t="str">
        <f>HYPERLINK("https%3A%2F%2Fwww.webofscience.com%2Fwos%2Fwoscc%2Ffull-record%2FWOS:001431875600001","View Full Record in Web of Science")</f>
        <v>View Full Record in Web of Science</v>
      </c>
    </row>
    <row r="353" spans="1:71" x14ac:dyDescent="0.25">
      <c r="A353" t="s">
        <v>19</v>
      </c>
      <c r="B353" s="5" t="s">
        <v>6779</v>
      </c>
      <c r="C353" s="5" t="s">
        <v>21</v>
      </c>
      <c r="D353" s="5" t="s">
        <v>21</v>
      </c>
      <c r="E353" s="5" t="s">
        <v>21</v>
      </c>
      <c r="F353" s="5" t="s">
        <v>6780</v>
      </c>
      <c r="G353" s="5" t="s">
        <v>21</v>
      </c>
      <c r="H353" s="5" t="s">
        <v>21</v>
      </c>
      <c r="I353" s="5" t="s">
        <v>6781</v>
      </c>
      <c r="J353" s="12" t="s">
        <v>6782</v>
      </c>
      <c r="K353" s="5" t="s">
        <v>21</v>
      </c>
      <c r="L353" s="5" t="s">
        <v>21</v>
      </c>
      <c r="M353" s="5" t="s">
        <v>25</v>
      </c>
      <c r="N353" s="5" t="s">
        <v>26</v>
      </c>
      <c r="O353" s="5" t="s">
        <v>21</v>
      </c>
      <c r="P353" s="5" t="s">
        <v>21</v>
      </c>
      <c r="Q353" s="5" t="s">
        <v>21</v>
      </c>
      <c r="R353" s="5" t="s">
        <v>21</v>
      </c>
      <c r="S353" s="5" t="s">
        <v>21</v>
      </c>
      <c r="T353" s="5" t="s">
        <v>6783</v>
      </c>
      <c r="U353" s="5" t="s">
        <v>6784</v>
      </c>
      <c r="V353" s="5" t="s">
        <v>6785</v>
      </c>
      <c r="W353" s="5" t="s">
        <v>6786</v>
      </c>
      <c r="X353" s="5" t="s">
        <v>6787</v>
      </c>
      <c r="Y353" s="5" t="s">
        <v>6788</v>
      </c>
      <c r="Z353" s="5" t="s">
        <v>6789</v>
      </c>
      <c r="AA353" s="5" t="s">
        <v>21</v>
      </c>
      <c r="AB353" s="5" t="s">
        <v>21</v>
      </c>
      <c r="AC353" s="5" t="s">
        <v>21</v>
      </c>
      <c r="AD353" s="5" t="s">
        <v>21</v>
      </c>
      <c r="AE353" s="5" t="s">
        <v>21</v>
      </c>
      <c r="AF353" s="5">
        <v>45</v>
      </c>
      <c r="AG353" s="5">
        <v>0</v>
      </c>
      <c r="AH353" s="5">
        <v>0</v>
      </c>
      <c r="AI353" s="5">
        <v>2</v>
      </c>
      <c r="AJ353" s="5">
        <v>2</v>
      </c>
      <c r="AK353" s="5" t="s">
        <v>1292</v>
      </c>
      <c r="AL353" s="5" t="s">
        <v>252</v>
      </c>
      <c r="AM353" s="5" t="s">
        <v>1293</v>
      </c>
      <c r="AN353" s="5" t="s">
        <v>6790</v>
      </c>
      <c r="AO353" s="5" t="s">
        <v>6791</v>
      </c>
      <c r="AP353" s="5" t="s">
        <v>21</v>
      </c>
      <c r="AQ353" s="5" t="s">
        <v>6792</v>
      </c>
      <c r="AR353" s="5" t="s">
        <v>6793</v>
      </c>
      <c r="AS353" s="5" t="s">
        <v>334</v>
      </c>
      <c r="AT353" s="5">
        <v>2025</v>
      </c>
      <c r="AU353" s="5">
        <v>85</v>
      </c>
      <c r="AV353" s="5">
        <v>1</v>
      </c>
      <c r="AW353" s="5" t="s">
        <v>21</v>
      </c>
      <c r="AX353" s="5" t="s">
        <v>21</v>
      </c>
      <c r="AY353" s="5" t="s">
        <v>21</v>
      </c>
      <c r="AZ353" s="5" t="s">
        <v>21</v>
      </c>
      <c r="BA353" s="5" t="s">
        <v>21</v>
      </c>
      <c r="BB353" s="5" t="s">
        <v>21</v>
      </c>
      <c r="BC353" s="5" t="s">
        <v>6794</v>
      </c>
      <c r="BD353" s="5" t="s">
        <v>6795</v>
      </c>
      <c r="BE353" s="5" t="str">
        <f>HYPERLINK("http://dx.doi.org/10.1002/jdn.70000","http://dx.doi.org/10.1002/jdn.70000")</f>
        <v>http://dx.doi.org/10.1002/jdn.70000</v>
      </c>
      <c r="BF353" s="5" t="s">
        <v>21</v>
      </c>
      <c r="BG353" s="5" t="s">
        <v>21</v>
      </c>
      <c r="BH353" s="5">
        <v>15</v>
      </c>
      <c r="BI353" s="5" t="s">
        <v>6796</v>
      </c>
      <c r="BJ353" s="5" t="s">
        <v>524</v>
      </c>
      <c r="BK353" s="5" t="s">
        <v>6797</v>
      </c>
      <c r="BL353" s="5" t="s">
        <v>6798</v>
      </c>
      <c r="BM353" s="5">
        <v>39873320</v>
      </c>
      <c r="BN353" s="5" t="s">
        <v>21</v>
      </c>
      <c r="BO353" s="5" t="s">
        <v>21</v>
      </c>
      <c r="BP353" s="5" t="s">
        <v>21</v>
      </c>
      <c r="BQ353" s="5" t="s">
        <v>49</v>
      </c>
      <c r="BR353" s="5" t="s">
        <v>6799</v>
      </c>
      <c r="BS353" s="5" t="str">
        <f>HYPERLINK("https%3A%2F%2Fwww.webofscience.com%2Fwos%2Fwoscc%2Ffull-record%2FWOS:001406955900001","View Full Record in Web of Science")</f>
        <v>View Full Record in Web of Science</v>
      </c>
    </row>
    <row r="354" spans="1:71" x14ac:dyDescent="0.25">
      <c r="A354" t="s">
        <v>19</v>
      </c>
      <c r="B354" s="5" t="s">
        <v>6800</v>
      </c>
      <c r="C354" s="5" t="s">
        <v>21</v>
      </c>
      <c r="D354" s="5" t="s">
        <v>21</v>
      </c>
      <c r="E354" s="5" t="s">
        <v>21</v>
      </c>
      <c r="F354" s="5" t="s">
        <v>6801</v>
      </c>
      <c r="G354" s="5" t="s">
        <v>21</v>
      </c>
      <c r="H354" s="5" t="s">
        <v>21</v>
      </c>
      <c r="I354" s="5" t="s">
        <v>6802</v>
      </c>
      <c r="J354" s="12" t="s">
        <v>869</v>
      </c>
      <c r="K354" s="5" t="s">
        <v>21</v>
      </c>
      <c r="L354" s="5" t="s">
        <v>21</v>
      </c>
      <c r="M354" s="5" t="s">
        <v>25</v>
      </c>
      <c r="N354" s="5" t="s">
        <v>2836</v>
      </c>
      <c r="O354" s="5" t="s">
        <v>21</v>
      </c>
      <c r="P354" s="5" t="s">
        <v>21</v>
      </c>
      <c r="Q354" s="5" t="s">
        <v>21</v>
      </c>
      <c r="R354" s="5" t="s">
        <v>21</v>
      </c>
      <c r="S354" s="5" t="s">
        <v>21</v>
      </c>
      <c r="T354" s="5" t="s">
        <v>6803</v>
      </c>
      <c r="U354" s="5" t="s">
        <v>6804</v>
      </c>
      <c r="V354" s="5" t="s">
        <v>6805</v>
      </c>
      <c r="W354" s="5" t="s">
        <v>6806</v>
      </c>
      <c r="X354" s="5" t="s">
        <v>6807</v>
      </c>
      <c r="Y354" s="5" t="s">
        <v>6808</v>
      </c>
      <c r="Z354" s="5" t="s">
        <v>6809</v>
      </c>
      <c r="AA354" s="5" t="s">
        <v>6810</v>
      </c>
      <c r="AB354" s="5" t="s">
        <v>6811</v>
      </c>
      <c r="AC354" s="5" t="s">
        <v>6812</v>
      </c>
      <c r="AD354" s="5" t="s">
        <v>6813</v>
      </c>
      <c r="AE354" s="5" t="s">
        <v>6814</v>
      </c>
      <c r="AF354" s="5">
        <v>74</v>
      </c>
      <c r="AG354" s="5">
        <v>0</v>
      </c>
      <c r="AH354" s="5">
        <v>0</v>
      </c>
      <c r="AI354" s="5">
        <v>15</v>
      </c>
      <c r="AJ354" s="5">
        <v>15</v>
      </c>
      <c r="AK354" s="5" t="s">
        <v>733</v>
      </c>
      <c r="AL354" s="5" t="s">
        <v>734</v>
      </c>
      <c r="AM354" s="5" t="s">
        <v>735</v>
      </c>
      <c r="AN354" s="5" t="s">
        <v>881</v>
      </c>
      <c r="AO354" s="5" t="s">
        <v>882</v>
      </c>
      <c r="AP354" s="5" t="s">
        <v>21</v>
      </c>
      <c r="AQ354" s="5" t="s">
        <v>883</v>
      </c>
      <c r="AR354" s="5" t="s">
        <v>884</v>
      </c>
      <c r="AS354" s="5" t="s">
        <v>6815</v>
      </c>
      <c r="AT354" s="5">
        <v>2025</v>
      </c>
      <c r="AU354" s="5" t="s">
        <v>21</v>
      </c>
      <c r="AV354" s="5" t="s">
        <v>21</v>
      </c>
      <c r="AW354" s="5" t="s">
        <v>21</v>
      </c>
      <c r="AX354" s="5" t="s">
        <v>21</v>
      </c>
      <c r="AY354" s="5" t="s">
        <v>21</v>
      </c>
      <c r="AZ354" s="5" t="s">
        <v>21</v>
      </c>
      <c r="BA354" s="5" t="s">
        <v>21</v>
      </c>
      <c r="BB354" s="5" t="s">
        <v>21</v>
      </c>
      <c r="BC354" s="5" t="s">
        <v>21</v>
      </c>
      <c r="BD354" s="5" t="s">
        <v>6816</v>
      </c>
      <c r="BE354" s="5" t="str">
        <f>HYPERLINK("http://dx.doi.org/10.1177/01626434251317984","http://dx.doi.org/10.1177/01626434251317984")</f>
        <v>http://dx.doi.org/10.1177/01626434251317984</v>
      </c>
      <c r="BF354" s="5" t="s">
        <v>21</v>
      </c>
      <c r="BG354" s="5" t="s">
        <v>6817</v>
      </c>
      <c r="BH354" s="5">
        <v>11</v>
      </c>
      <c r="BI354" s="5" t="s">
        <v>887</v>
      </c>
      <c r="BJ354" s="5" t="s">
        <v>45</v>
      </c>
      <c r="BK354" s="5" t="s">
        <v>888</v>
      </c>
      <c r="BL354" s="5" t="s">
        <v>6818</v>
      </c>
      <c r="BM354" s="5" t="s">
        <v>21</v>
      </c>
      <c r="BN354" s="5" t="s">
        <v>21</v>
      </c>
      <c r="BO354" s="5" t="s">
        <v>21</v>
      </c>
      <c r="BP354" s="5" t="s">
        <v>21</v>
      </c>
      <c r="BQ354" s="5" t="s">
        <v>49</v>
      </c>
      <c r="BR354" s="5" t="s">
        <v>6819</v>
      </c>
      <c r="BS354" s="5" t="str">
        <f>HYPERLINK("https%3A%2F%2Fwww.webofscience.com%2Fwos%2Fwoscc%2Ffull-record%2FWOS:001409050400001","View Full Record in Web of Science")</f>
        <v>View Full Record in Web of Science</v>
      </c>
    </row>
    <row r="355" spans="1:71" x14ac:dyDescent="0.25">
      <c r="A355" t="s">
        <v>19</v>
      </c>
      <c r="B355" s="5" t="s">
        <v>6820</v>
      </c>
      <c r="C355" s="5" t="s">
        <v>21</v>
      </c>
      <c r="D355" s="5" t="s">
        <v>21</v>
      </c>
      <c r="E355" s="5" t="s">
        <v>21</v>
      </c>
      <c r="F355" s="5" t="s">
        <v>6821</v>
      </c>
      <c r="G355" s="5" t="s">
        <v>21</v>
      </c>
      <c r="H355" s="5" t="s">
        <v>21</v>
      </c>
      <c r="I355" s="5" t="s">
        <v>6822</v>
      </c>
      <c r="J355" s="12" t="s">
        <v>6823</v>
      </c>
      <c r="K355" s="5" t="s">
        <v>21</v>
      </c>
      <c r="L355" s="5" t="s">
        <v>21</v>
      </c>
      <c r="M355" s="5" t="s">
        <v>25</v>
      </c>
      <c r="N355" s="5" t="s">
        <v>26</v>
      </c>
      <c r="O355" s="5" t="s">
        <v>21</v>
      </c>
      <c r="P355" s="5" t="s">
        <v>21</v>
      </c>
      <c r="Q355" s="5" t="s">
        <v>21</v>
      </c>
      <c r="R355" s="5" t="s">
        <v>21</v>
      </c>
      <c r="S355" s="5" t="s">
        <v>21</v>
      </c>
      <c r="T355" s="5" t="s">
        <v>6824</v>
      </c>
      <c r="U355" s="5" t="s">
        <v>6825</v>
      </c>
      <c r="V355" s="5" t="s">
        <v>6826</v>
      </c>
      <c r="W355" s="5" t="s">
        <v>6827</v>
      </c>
      <c r="X355" s="5" t="s">
        <v>1284</v>
      </c>
      <c r="Y355" s="5" t="s">
        <v>6828</v>
      </c>
      <c r="Z355" s="5" t="s">
        <v>6829</v>
      </c>
      <c r="AA355" s="5" t="s">
        <v>6830</v>
      </c>
      <c r="AB355" s="5" t="s">
        <v>6831</v>
      </c>
      <c r="AC355" s="5" t="s">
        <v>6832</v>
      </c>
      <c r="AD355" s="5" t="s">
        <v>6833</v>
      </c>
      <c r="AE355" s="5" t="s">
        <v>6834</v>
      </c>
      <c r="AF355" s="5">
        <v>61</v>
      </c>
      <c r="AG355" s="5">
        <v>0</v>
      </c>
      <c r="AH355" s="5">
        <v>0</v>
      </c>
      <c r="AI355" s="5">
        <v>4</v>
      </c>
      <c r="AJ355" s="5">
        <v>4</v>
      </c>
      <c r="AK355" s="5" t="s">
        <v>110</v>
      </c>
      <c r="AL355" s="5" t="s">
        <v>84</v>
      </c>
      <c r="AM355" s="5" t="s">
        <v>111</v>
      </c>
      <c r="AN355" s="5" t="s">
        <v>6835</v>
      </c>
      <c r="AO355" s="5" t="s">
        <v>6836</v>
      </c>
      <c r="AP355" s="5" t="s">
        <v>21</v>
      </c>
      <c r="AQ355" s="5" t="s">
        <v>6837</v>
      </c>
      <c r="AR355" s="5" t="s">
        <v>6838</v>
      </c>
      <c r="AS355" s="5" t="s">
        <v>6839</v>
      </c>
      <c r="AT355" s="5">
        <v>2025</v>
      </c>
      <c r="AU355" s="5">
        <v>270</v>
      </c>
      <c r="AV355" s="5" t="s">
        <v>21</v>
      </c>
      <c r="AW355" s="5" t="s">
        <v>21</v>
      </c>
      <c r="AX355" s="5" t="s">
        <v>21</v>
      </c>
      <c r="AY355" s="5" t="s">
        <v>21</v>
      </c>
      <c r="AZ355" s="5" t="s">
        <v>21</v>
      </c>
      <c r="BA355" s="5" t="s">
        <v>21</v>
      </c>
      <c r="BB355" s="5" t="s">
        <v>21</v>
      </c>
      <c r="BC355" s="5">
        <v>126295</v>
      </c>
      <c r="BD355" s="5" t="s">
        <v>6840</v>
      </c>
      <c r="BE355" s="5" t="str">
        <f>HYPERLINK("http://dx.doi.org/10.1016/j.eswa.2024.126295","http://dx.doi.org/10.1016/j.eswa.2024.126295")</f>
        <v>http://dx.doi.org/10.1016/j.eswa.2024.126295</v>
      </c>
      <c r="BF355" s="5" t="s">
        <v>21</v>
      </c>
      <c r="BG355" s="5" t="s">
        <v>6817</v>
      </c>
      <c r="BH355" s="5">
        <v>15</v>
      </c>
      <c r="BI355" s="5" t="s">
        <v>6841</v>
      </c>
      <c r="BJ355" s="5" t="s">
        <v>524</v>
      </c>
      <c r="BK355" s="5" t="s">
        <v>6842</v>
      </c>
      <c r="BL355" s="5" t="s">
        <v>6843</v>
      </c>
      <c r="BM355" s="5" t="s">
        <v>21</v>
      </c>
      <c r="BN355" s="5" t="s">
        <v>5798</v>
      </c>
      <c r="BO355" s="5" t="s">
        <v>21</v>
      </c>
      <c r="BP355" s="5" t="s">
        <v>21</v>
      </c>
      <c r="BQ355" s="5" t="s">
        <v>49</v>
      </c>
      <c r="BR355" s="5" t="s">
        <v>6844</v>
      </c>
      <c r="BS355" s="5" t="str">
        <f>HYPERLINK("https%3A%2F%2Fwww.webofscience.com%2Fwos%2Fwoscc%2Ffull-record%2FWOS:001401874000001","View Full Record in Web of Science")</f>
        <v>View Full Record in Web of Science</v>
      </c>
    </row>
    <row r="356" spans="1:71" x14ac:dyDescent="0.25">
      <c r="A356" t="s">
        <v>19</v>
      </c>
      <c r="B356" s="5" t="s">
        <v>6845</v>
      </c>
      <c r="C356" s="5" t="s">
        <v>21</v>
      </c>
      <c r="D356" s="5" t="s">
        <v>21</v>
      </c>
      <c r="E356" s="5" t="s">
        <v>21</v>
      </c>
      <c r="F356" s="5" t="s">
        <v>6846</v>
      </c>
      <c r="G356" s="5" t="s">
        <v>21</v>
      </c>
      <c r="H356" s="5" t="s">
        <v>21</v>
      </c>
      <c r="I356" s="5" t="s">
        <v>6847</v>
      </c>
      <c r="J356" s="12" t="s">
        <v>6848</v>
      </c>
      <c r="K356" s="5" t="s">
        <v>21</v>
      </c>
      <c r="L356" s="5" t="s">
        <v>21</v>
      </c>
      <c r="M356" s="5" t="s">
        <v>25</v>
      </c>
      <c r="N356" s="5" t="s">
        <v>76</v>
      </c>
      <c r="O356" s="5" t="s">
        <v>21</v>
      </c>
      <c r="P356" s="5" t="s">
        <v>21</v>
      </c>
      <c r="Q356" s="5" t="s">
        <v>21</v>
      </c>
      <c r="R356" s="5" t="s">
        <v>21</v>
      </c>
      <c r="S356" s="5" t="s">
        <v>21</v>
      </c>
      <c r="T356" s="5" t="s">
        <v>6849</v>
      </c>
      <c r="U356" s="5" t="s">
        <v>6850</v>
      </c>
      <c r="V356" s="5" t="s">
        <v>6851</v>
      </c>
      <c r="W356" s="5" t="s">
        <v>6852</v>
      </c>
      <c r="X356" s="5" t="s">
        <v>6853</v>
      </c>
      <c r="Y356" s="5" t="s">
        <v>6854</v>
      </c>
      <c r="Z356" s="5" t="s">
        <v>6855</v>
      </c>
      <c r="AA356" s="5" t="s">
        <v>6856</v>
      </c>
      <c r="AB356" s="5" t="s">
        <v>6857</v>
      </c>
      <c r="AC356" s="5" t="s">
        <v>21</v>
      </c>
      <c r="AD356" s="5" t="s">
        <v>21</v>
      </c>
      <c r="AE356" s="5" t="s">
        <v>21</v>
      </c>
      <c r="AF356" s="5">
        <v>54</v>
      </c>
      <c r="AG356" s="5">
        <v>0</v>
      </c>
      <c r="AH356" s="5">
        <v>0</v>
      </c>
      <c r="AI356" s="5">
        <v>7</v>
      </c>
      <c r="AJ356" s="5">
        <v>7</v>
      </c>
      <c r="AK356" s="5" t="s">
        <v>193</v>
      </c>
      <c r="AL356" s="5" t="s">
        <v>194</v>
      </c>
      <c r="AM356" s="5" t="s">
        <v>1413</v>
      </c>
      <c r="AN356" s="5" t="s">
        <v>21</v>
      </c>
      <c r="AO356" s="5" t="s">
        <v>6858</v>
      </c>
      <c r="AP356" s="5" t="s">
        <v>21</v>
      </c>
      <c r="AQ356" s="5" t="s">
        <v>6848</v>
      </c>
      <c r="AR356" s="5" t="s">
        <v>6859</v>
      </c>
      <c r="AS356" s="5" t="s">
        <v>42</v>
      </c>
      <c r="AT356" s="5">
        <v>2025</v>
      </c>
      <c r="AU356" s="5">
        <v>18</v>
      </c>
      <c r="AV356" s="5">
        <v>1</v>
      </c>
      <c r="AW356" s="5" t="s">
        <v>21</v>
      </c>
      <c r="AX356" s="5" t="s">
        <v>21</v>
      </c>
      <c r="AY356" s="5" t="s">
        <v>21</v>
      </c>
      <c r="AZ356" s="5" t="s">
        <v>21</v>
      </c>
      <c r="BA356" s="5" t="s">
        <v>21</v>
      </c>
      <c r="BB356" s="5" t="s">
        <v>21</v>
      </c>
      <c r="BC356" s="5">
        <v>34</v>
      </c>
      <c r="BD356" s="5" t="s">
        <v>6860</v>
      </c>
      <c r="BE356" s="5" t="str">
        <f>HYPERLINK("http://dx.doi.org/10.3390/a18010034","http://dx.doi.org/10.3390/a18010034")</f>
        <v>http://dx.doi.org/10.3390/a18010034</v>
      </c>
      <c r="BF356" s="5" t="s">
        <v>21</v>
      </c>
      <c r="BG356" s="5" t="s">
        <v>21</v>
      </c>
      <c r="BH356" s="5">
        <v>27</v>
      </c>
      <c r="BI356" s="5" t="s">
        <v>6861</v>
      </c>
      <c r="BJ356" s="5" t="s">
        <v>1907</v>
      </c>
      <c r="BK356" s="5" t="s">
        <v>715</v>
      </c>
      <c r="BL356" s="5" t="s">
        <v>6862</v>
      </c>
      <c r="BM356" s="5" t="s">
        <v>21</v>
      </c>
      <c r="BN356" s="5" t="s">
        <v>1909</v>
      </c>
      <c r="BO356" s="5" t="s">
        <v>21</v>
      </c>
      <c r="BP356" s="5" t="s">
        <v>21</v>
      </c>
      <c r="BQ356" s="5" t="s">
        <v>49</v>
      </c>
      <c r="BR356" s="5" t="s">
        <v>6863</v>
      </c>
      <c r="BS356" s="5" t="str">
        <f>HYPERLINK("https%3A%2F%2Fwww.webofscience.com%2Fwos%2Fwoscc%2Ffull-record%2FWOS:001403909600001","View Full Record in Web of Science")</f>
        <v>View Full Record in Web of Science</v>
      </c>
    </row>
    <row r="357" spans="1:71" x14ac:dyDescent="0.25">
      <c r="A357" t="s">
        <v>19</v>
      </c>
      <c r="B357" s="5" t="s">
        <v>6864</v>
      </c>
      <c r="C357" s="5" t="s">
        <v>21</v>
      </c>
      <c r="D357" s="5" t="s">
        <v>21</v>
      </c>
      <c r="E357" s="5" t="s">
        <v>21</v>
      </c>
      <c r="F357" s="5" t="s">
        <v>6865</v>
      </c>
      <c r="G357" s="5" t="s">
        <v>21</v>
      </c>
      <c r="H357" s="5" t="s">
        <v>21</v>
      </c>
      <c r="I357" s="5" t="s">
        <v>6866</v>
      </c>
      <c r="J357" s="12" t="s">
        <v>6867</v>
      </c>
      <c r="K357" s="5" t="s">
        <v>21</v>
      </c>
      <c r="L357" s="5" t="s">
        <v>21</v>
      </c>
      <c r="M357" s="5" t="s">
        <v>25</v>
      </c>
      <c r="N357" s="5" t="s">
        <v>26</v>
      </c>
      <c r="O357" s="5" t="s">
        <v>21</v>
      </c>
      <c r="P357" s="5" t="s">
        <v>21</v>
      </c>
      <c r="Q357" s="5" t="s">
        <v>21</v>
      </c>
      <c r="R357" s="5" t="s">
        <v>21</v>
      </c>
      <c r="S357" s="5" t="s">
        <v>21</v>
      </c>
      <c r="T357" s="5" t="s">
        <v>6868</v>
      </c>
      <c r="U357" s="5" t="s">
        <v>6869</v>
      </c>
      <c r="V357" s="5" t="s">
        <v>6870</v>
      </c>
      <c r="W357" s="5" t="s">
        <v>6871</v>
      </c>
      <c r="X357" s="5" t="s">
        <v>6872</v>
      </c>
      <c r="Y357" s="5" t="s">
        <v>6873</v>
      </c>
      <c r="Z357" s="5" t="s">
        <v>6874</v>
      </c>
      <c r="AA357" s="5" t="s">
        <v>21</v>
      </c>
      <c r="AB357" s="5" t="s">
        <v>21</v>
      </c>
      <c r="AC357" s="5" t="s">
        <v>21</v>
      </c>
      <c r="AD357" s="5" t="s">
        <v>21</v>
      </c>
      <c r="AE357" s="5" t="s">
        <v>21</v>
      </c>
      <c r="AF357" s="5">
        <v>30</v>
      </c>
      <c r="AG357" s="5">
        <v>0</v>
      </c>
      <c r="AH357" s="5">
        <v>0</v>
      </c>
      <c r="AI357" s="5">
        <v>0</v>
      </c>
      <c r="AJ357" s="5">
        <v>0</v>
      </c>
      <c r="AK357" s="5" t="s">
        <v>6875</v>
      </c>
      <c r="AL357" s="5" t="s">
        <v>6876</v>
      </c>
      <c r="AM357" s="5" t="s">
        <v>6877</v>
      </c>
      <c r="AN357" s="5" t="s">
        <v>6878</v>
      </c>
      <c r="AO357" s="5" t="s">
        <v>21</v>
      </c>
      <c r="AP357" s="5" t="s">
        <v>21</v>
      </c>
      <c r="AQ357" s="5" t="s">
        <v>6879</v>
      </c>
      <c r="AR357" s="5" t="s">
        <v>6880</v>
      </c>
      <c r="AS357" s="5" t="s">
        <v>6881</v>
      </c>
      <c r="AT357" s="5">
        <v>2025</v>
      </c>
      <c r="AU357" s="5">
        <v>29</v>
      </c>
      <c r="AV357" s="5">
        <v>1</v>
      </c>
      <c r="AW357" s="5" t="s">
        <v>21</v>
      </c>
      <c r="AX357" s="5" t="s">
        <v>21</v>
      </c>
      <c r="AY357" s="5" t="s">
        <v>21</v>
      </c>
      <c r="AZ357" s="5" t="s">
        <v>21</v>
      </c>
      <c r="BA357" s="5" t="s">
        <v>21</v>
      </c>
      <c r="BB357" s="5" t="s">
        <v>21</v>
      </c>
      <c r="BC357" s="5">
        <v>18527</v>
      </c>
      <c r="BD357" s="5" t="s">
        <v>6882</v>
      </c>
      <c r="BE357" s="5" t="str">
        <f>HYPERLINK("http://dx.doi.org/10.15359/ree.29-1.18527","http://dx.doi.org/10.15359/ree.29-1.18527")</f>
        <v>http://dx.doi.org/10.15359/ree.29-1.18527</v>
      </c>
      <c r="BF357" s="5" t="s">
        <v>21</v>
      </c>
      <c r="BG357" s="5" t="s">
        <v>21</v>
      </c>
      <c r="BH357" s="5">
        <v>20</v>
      </c>
      <c r="BI357" s="5" t="s">
        <v>503</v>
      </c>
      <c r="BJ357" s="5" t="s">
        <v>1907</v>
      </c>
      <c r="BK357" s="5" t="s">
        <v>503</v>
      </c>
      <c r="BL357" s="5" t="s">
        <v>6883</v>
      </c>
      <c r="BM357" s="5" t="s">
        <v>21</v>
      </c>
      <c r="BN357" s="5" t="s">
        <v>21</v>
      </c>
      <c r="BO357" s="5" t="s">
        <v>21</v>
      </c>
      <c r="BP357" s="5" t="s">
        <v>21</v>
      </c>
      <c r="BQ357" s="5" t="s">
        <v>49</v>
      </c>
      <c r="BR357" s="5" t="s">
        <v>6884</v>
      </c>
      <c r="BS357" s="5" t="str">
        <f>HYPERLINK("https%3A%2F%2Fwww.webofscience.com%2Fwos%2Fwoscc%2Ffull-record%2FWOS:001469501400001","View Full Record in Web of Science")</f>
        <v>View Full Record in Web of Science</v>
      </c>
    </row>
    <row r="358" spans="1:71" x14ac:dyDescent="0.25">
      <c r="A358" t="s">
        <v>19</v>
      </c>
      <c r="B358" s="5" t="s">
        <v>6885</v>
      </c>
      <c r="C358" s="5" t="s">
        <v>21</v>
      </c>
      <c r="D358" s="5" t="s">
        <v>21</v>
      </c>
      <c r="E358" s="5" t="s">
        <v>21</v>
      </c>
      <c r="F358" s="5" t="s">
        <v>6886</v>
      </c>
      <c r="G358" s="5" t="s">
        <v>21</v>
      </c>
      <c r="H358" s="5" t="s">
        <v>21</v>
      </c>
      <c r="I358" s="5" t="s">
        <v>6887</v>
      </c>
      <c r="J358" s="12" t="s">
        <v>646</v>
      </c>
      <c r="K358" s="5" t="s">
        <v>21</v>
      </c>
      <c r="L358" s="5" t="s">
        <v>21</v>
      </c>
      <c r="M358" s="5" t="s">
        <v>25</v>
      </c>
      <c r="N358" s="5" t="s">
        <v>26</v>
      </c>
      <c r="O358" s="5" t="s">
        <v>21</v>
      </c>
      <c r="P358" s="5" t="s">
        <v>21</v>
      </c>
      <c r="Q358" s="5" t="s">
        <v>21</v>
      </c>
      <c r="R358" s="5" t="s">
        <v>21</v>
      </c>
      <c r="S358" s="5" t="s">
        <v>21</v>
      </c>
      <c r="T358" s="5" t="s">
        <v>6888</v>
      </c>
      <c r="U358" s="5" t="s">
        <v>6889</v>
      </c>
      <c r="V358" s="5" t="s">
        <v>6890</v>
      </c>
      <c r="W358" s="5" t="s">
        <v>6891</v>
      </c>
      <c r="X358" s="5" t="s">
        <v>6892</v>
      </c>
      <c r="Y358" s="5" t="s">
        <v>6893</v>
      </c>
      <c r="Z358" s="5" t="s">
        <v>6894</v>
      </c>
      <c r="AA358" s="5" t="s">
        <v>6895</v>
      </c>
      <c r="AB358" s="5" t="s">
        <v>6896</v>
      </c>
      <c r="AC358" s="5" t="s">
        <v>6897</v>
      </c>
      <c r="AD358" s="5" t="s">
        <v>6898</v>
      </c>
      <c r="AE358" s="5" t="s">
        <v>6899</v>
      </c>
      <c r="AF358" s="5">
        <v>74</v>
      </c>
      <c r="AG358" s="5">
        <v>0</v>
      </c>
      <c r="AH358" s="5">
        <v>0</v>
      </c>
      <c r="AI358" s="5">
        <v>1</v>
      </c>
      <c r="AJ358" s="5">
        <v>1</v>
      </c>
      <c r="AK358" s="5" t="s">
        <v>659</v>
      </c>
      <c r="AL358" s="5" t="s">
        <v>660</v>
      </c>
      <c r="AM358" s="5" t="s">
        <v>661</v>
      </c>
      <c r="AN358" s="5" t="s">
        <v>662</v>
      </c>
      <c r="AO358" s="5" t="s">
        <v>663</v>
      </c>
      <c r="AP358" s="5" t="s">
        <v>21</v>
      </c>
      <c r="AQ358" s="5" t="s">
        <v>664</v>
      </c>
      <c r="AR358" s="5" t="s">
        <v>665</v>
      </c>
      <c r="AS358" s="5" t="s">
        <v>21</v>
      </c>
      <c r="AT358" s="5">
        <v>2025</v>
      </c>
      <c r="AU358" s="5">
        <v>33</v>
      </c>
      <c r="AV358" s="5" t="s">
        <v>21</v>
      </c>
      <c r="AW358" s="5" t="s">
        <v>21</v>
      </c>
      <c r="AX358" s="5" t="s">
        <v>21</v>
      </c>
      <c r="AY358" s="5" t="s">
        <v>21</v>
      </c>
      <c r="AZ358" s="5" t="s">
        <v>21</v>
      </c>
      <c r="BA358" s="5">
        <v>829</v>
      </c>
      <c r="BB358" s="5">
        <v>840</v>
      </c>
      <c r="BC358" s="5" t="s">
        <v>21</v>
      </c>
      <c r="BD358" s="5" t="s">
        <v>6900</v>
      </c>
      <c r="BE358" s="5" t="str">
        <f>HYPERLINK("http://dx.doi.org/10.1109/TNSRE.2025.3543131","http://dx.doi.org/10.1109/TNSRE.2025.3543131")</f>
        <v>http://dx.doi.org/10.1109/TNSRE.2025.3543131</v>
      </c>
      <c r="BF358" s="5" t="s">
        <v>21</v>
      </c>
      <c r="BG358" s="5" t="s">
        <v>21</v>
      </c>
      <c r="BH358" s="5">
        <v>12</v>
      </c>
      <c r="BI358" s="5" t="s">
        <v>667</v>
      </c>
      <c r="BJ358" s="5" t="s">
        <v>524</v>
      </c>
      <c r="BK358" s="5" t="s">
        <v>668</v>
      </c>
      <c r="BL358" s="5" t="s">
        <v>6901</v>
      </c>
      <c r="BM358" s="5">
        <v>40031526</v>
      </c>
      <c r="BN358" s="5" t="s">
        <v>1909</v>
      </c>
      <c r="BO358" s="5" t="s">
        <v>21</v>
      </c>
      <c r="BP358" s="5" t="s">
        <v>21</v>
      </c>
      <c r="BQ358" s="5" t="s">
        <v>49</v>
      </c>
      <c r="BR358" s="5" t="s">
        <v>6902</v>
      </c>
      <c r="BS358" s="5" t="str">
        <f>HYPERLINK("https%3A%2F%2Fwww.webofscience.com%2Fwos%2Fwoscc%2Ffull-record%2FWOS:001432842900001","View Full Record in Web of Science")</f>
        <v>View Full Record in Web of Science</v>
      </c>
    </row>
    <row r="359" spans="1:71" x14ac:dyDescent="0.25">
      <c r="A359" t="s">
        <v>19</v>
      </c>
      <c r="B359" s="5" t="s">
        <v>6903</v>
      </c>
      <c r="C359" s="5" t="s">
        <v>21</v>
      </c>
      <c r="D359" s="5" t="s">
        <v>21</v>
      </c>
      <c r="E359" s="5" t="s">
        <v>21</v>
      </c>
      <c r="F359" s="5" t="s">
        <v>6904</v>
      </c>
      <c r="G359" s="5" t="s">
        <v>21</v>
      </c>
      <c r="H359" s="5" t="s">
        <v>21</v>
      </c>
      <c r="I359" s="5" t="s">
        <v>6905</v>
      </c>
      <c r="J359" s="12" t="s">
        <v>6906</v>
      </c>
      <c r="K359" s="5" t="s">
        <v>21</v>
      </c>
      <c r="L359" s="5" t="s">
        <v>21</v>
      </c>
      <c r="M359" s="5" t="s">
        <v>25</v>
      </c>
      <c r="N359" s="5" t="s">
        <v>26</v>
      </c>
      <c r="O359" s="5" t="s">
        <v>21</v>
      </c>
      <c r="P359" s="5" t="s">
        <v>21</v>
      </c>
      <c r="Q359" s="5" t="s">
        <v>21</v>
      </c>
      <c r="R359" s="5" t="s">
        <v>21</v>
      </c>
      <c r="S359" s="5" t="s">
        <v>21</v>
      </c>
      <c r="T359" s="5" t="s">
        <v>6907</v>
      </c>
      <c r="U359" s="5" t="s">
        <v>21</v>
      </c>
      <c r="V359" s="5" t="s">
        <v>6908</v>
      </c>
      <c r="W359" s="5" t="s">
        <v>6909</v>
      </c>
      <c r="X359" s="5" t="s">
        <v>6910</v>
      </c>
      <c r="Y359" s="5" t="s">
        <v>6911</v>
      </c>
      <c r="Z359" s="5" t="s">
        <v>6912</v>
      </c>
      <c r="AA359" s="5" t="s">
        <v>21</v>
      </c>
      <c r="AB359" s="5" t="s">
        <v>21</v>
      </c>
      <c r="AC359" s="5" t="s">
        <v>21</v>
      </c>
      <c r="AD359" s="5" t="s">
        <v>21</v>
      </c>
      <c r="AE359" s="5" t="s">
        <v>21</v>
      </c>
      <c r="AF359" s="5">
        <v>38</v>
      </c>
      <c r="AG359" s="5">
        <v>0</v>
      </c>
      <c r="AH359" s="5">
        <v>0</v>
      </c>
      <c r="AI359" s="5">
        <v>0</v>
      </c>
      <c r="AJ359" s="5">
        <v>0</v>
      </c>
      <c r="AK359" s="5" t="s">
        <v>1319</v>
      </c>
      <c r="AL359" s="5" t="s">
        <v>1320</v>
      </c>
      <c r="AM359" s="5" t="s">
        <v>4420</v>
      </c>
      <c r="AN359" s="5" t="s">
        <v>21</v>
      </c>
      <c r="AO359" s="5" t="s">
        <v>6913</v>
      </c>
      <c r="AP359" s="5" t="s">
        <v>21</v>
      </c>
      <c r="AQ359" s="5" t="s">
        <v>6914</v>
      </c>
      <c r="AR359" s="5" t="s">
        <v>6915</v>
      </c>
      <c r="AS359" s="5" t="s">
        <v>21</v>
      </c>
      <c r="AT359" s="5">
        <v>2025</v>
      </c>
      <c r="AU359" s="5">
        <v>12</v>
      </c>
      <c r="AV359" s="5" t="s">
        <v>21</v>
      </c>
      <c r="AW359" s="5" t="s">
        <v>21</v>
      </c>
      <c r="AX359" s="5" t="s">
        <v>21</v>
      </c>
      <c r="AY359" s="5" t="s">
        <v>21</v>
      </c>
      <c r="AZ359" s="5" t="s">
        <v>21</v>
      </c>
      <c r="BA359" s="5" t="s">
        <v>21</v>
      </c>
      <c r="BB359" s="5" t="s">
        <v>21</v>
      </c>
      <c r="BC359" s="5" t="s">
        <v>6916</v>
      </c>
      <c r="BD359" s="5" t="s">
        <v>6917</v>
      </c>
      <c r="BE359" s="5" t="str">
        <f>HYPERLINK("http://dx.doi.org/10.2196/63235","http://dx.doi.org/10.2196/63235")</f>
        <v>http://dx.doi.org/10.2196/63235</v>
      </c>
      <c r="BF359" s="5" t="s">
        <v>21</v>
      </c>
      <c r="BG359" s="5" t="s">
        <v>21</v>
      </c>
      <c r="BH359" s="5">
        <v>14</v>
      </c>
      <c r="BI359" s="5" t="s">
        <v>6918</v>
      </c>
      <c r="BJ359" s="5" t="s">
        <v>1907</v>
      </c>
      <c r="BK359" s="5" t="s">
        <v>6918</v>
      </c>
      <c r="BL359" s="5" t="s">
        <v>6919</v>
      </c>
      <c r="BM359" s="5">
        <v>40014826</v>
      </c>
      <c r="BN359" s="5" t="s">
        <v>1909</v>
      </c>
      <c r="BO359" s="5" t="s">
        <v>21</v>
      </c>
      <c r="BP359" s="5" t="s">
        <v>21</v>
      </c>
      <c r="BQ359" s="5" t="s">
        <v>49</v>
      </c>
      <c r="BR359" s="5" t="s">
        <v>6920</v>
      </c>
      <c r="BS359" s="5" t="str">
        <f>HYPERLINK("https%3A%2F%2Fwww.webofscience.com%2Fwos%2Fwoscc%2Ffull-record%2FWOS:001441011500001","View Full Record in Web of Science")</f>
        <v>View Full Record in Web of Science</v>
      </c>
    </row>
    <row r="360" spans="1:71" x14ac:dyDescent="0.25">
      <c r="A360" t="s">
        <v>19</v>
      </c>
      <c r="B360" s="5" t="s">
        <v>6779</v>
      </c>
      <c r="C360" s="5" t="s">
        <v>21</v>
      </c>
      <c r="D360" s="5" t="s">
        <v>21</v>
      </c>
      <c r="E360" s="5" t="s">
        <v>21</v>
      </c>
      <c r="F360" s="5" t="s">
        <v>6780</v>
      </c>
      <c r="G360" s="5" t="s">
        <v>21</v>
      </c>
      <c r="H360" s="5" t="s">
        <v>21</v>
      </c>
      <c r="I360" s="5" t="s">
        <v>6921</v>
      </c>
      <c r="J360" s="12" t="s">
        <v>6922</v>
      </c>
      <c r="K360" s="5" t="s">
        <v>21</v>
      </c>
      <c r="L360" s="5" t="s">
        <v>21</v>
      </c>
      <c r="M360" s="5" t="s">
        <v>25</v>
      </c>
      <c r="N360" s="5" t="s">
        <v>26</v>
      </c>
      <c r="O360" s="5" t="s">
        <v>21</v>
      </c>
      <c r="P360" s="5" t="s">
        <v>21</v>
      </c>
      <c r="Q360" s="5" t="s">
        <v>21</v>
      </c>
      <c r="R360" s="5" t="s">
        <v>21</v>
      </c>
      <c r="S360" s="5" t="s">
        <v>21</v>
      </c>
      <c r="T360" s="5" t="s">
        <v>6923</v>
      </c>
      <c r="U360" s="5" t="s">
        <v>21</v>
      </c>
      <c r="V360" s="5" t="s">
        <v>6924</v>
      </c>
      <c r="W360" s="5" t="s">
        <v>6786</v>
      </c>
      <c r="X360" s="5" t="s">
        <v>6787</v>
      </c>
      <c r="Y360" s="5" t="s">
        <v>6788</v>
      </c>
      <c r="Z360" s="5" t="s">
        <v>6925</v>
      </c>
      <c r="AA360" s="5" t="s">
        <v>21</v>
      </c>
      <c r="AB360" s="5" t="s">
        <v>21</v>
      </c>
      <c r="AC360" s="5" t="s">
        <v>21</v>
      </c>
      <c r="AD360" s="5" t="s">
        <v>21</v>
      </c>
      <c r="AE360" s="5" t="s">
        <v>21</v>
      </c>
      <c r="AF360" s="5">
        <v>42</v>
      </c>
      <c r="AG360" s="5">
        <v>0</v>
      </c>
      <c r="AH360" s="5">
        <v>0</v>
      </c>
      <c r="AI360" s="5">
        <v>5</v>
      </c>
      <c r="AJ360" s="5">
        <v>5</v>
      </c>
      <c r="AK360" s="5" t="s">
        <v>1292</v>
      </c>
      <c r="AL360" s="5" t="s">
        <v>252</v>
      </c>
      <c r="AM360" s="5" t="s">
        <v>1293</v>
      </c>
      <c r="AN360" s="5" t="s">
        <v>6926</v>
      </c>
      <c r="AO360" s="5" t="s">
        <v>6927</v>
      </c>
      <c r="AP360" s="5" t="s">
        <v>21</v>
      </c>
      <c r="AQ360" s="5" t="s">
        <v>6928</v>
      </c>
      <c r="AR360" s="5" t="s">
        <v>6929</v>
      </c>
      <c r="AS360" s="5" t="s">
        <v>42</v>
      </c>
      <c r="AT360" s="5">
        <v>2025</v>
      </c>
      <c r="AU360" s="5">
        <v>36</v>
      </c>
      <c r="AV360" s="5">
        <v>1</v>
      </c>
      <c r="AW360" s="5" t="s">
        <v>21</v>
      </c>
      <c r="AX360" s="5" t="s">
        <v>21</v>
      </c>
      <c r="AY360" s="5" t="s">
        <v>21</v>
      </c>
      <c r="AZ360" s="5" t="s">
        <v>21</v>
      </c>
      <c r="BA360" s="5" t="s">
        <v>21</v>
      </c>
      <c r="BB360" s="5" t="s">
        <v>21</v>
      </c>
      <c r="BC360" s="5" t="s">
        <v>6930</v>
      </c>
      <c r="BD360" s="5" t="s">
        <v>6931</v>
      </c>
      <c r="BE360" s="5" t="str">
        <f>HYPERLINK("http://dx.doi.org/10.1002/cav.70010","http://dx.doi.org/10.1002/cav.70010")</f>
        <v>http://dx.doi.org/10.1002/cav.70010</v>
      </c>
      <c r="BF360" s="5" t="s">
        <v>21</v>
      </c>
      <c r="BG360" s="5" t="s">
        <v>21</v>
      </c>
      <c r="BH360" s="5">
        <v>20</v>
      </c>
      <c r="BI360" s="5" t="s">
        <v>784</v>
      </c>
      <c r="BJ360" s="5" t="s">
        <v>524</v>
      </c>
      <c r="BK360" s="5" t="s">
        <v>715</v>
      </c>
      <c r="BL360" s="5" t="s">
        <v>6932</v>
      </c>
      <c r="BM360" s="5" t="s">
        <v>21</v>
      </c>
      <c r="BN360" s="5" t="s">
        <v>21</v>
      </c>
      <c r="BO360" s="5" t="s">
        <v>21</v>
      </c>
      <c r="BP360" s="5" t="s">
        <v>21</v>
      </c>
      <c r="BQ360" s="5" t="s">
        <v>49</v>
      </c>
      <c r="BR360" s="5" t="s">
        <v>6933</v>
      </c>
      <c r="BS360" s="5" t="str">
        <f>HYPERLINK("https%3A%2F%2Fwww.webofscience.com%2Fwos%2Fwoscc%2Ffull-record%2FWOS:001407327000001","View Full Record in Web of Science")</f>
        <v>View Full Record in Web of Science</v>
      </c>
    </row>
    <row r="361" spans="1:71" x14ac:dyDescent="0.25">
      <c r="A361" t="s">
        <v>19</v>
      </c>
      <c r="B361" s="5" t="s">
        <v>6934</v>
      </c>
      <c r="C361" s="5" t="s">
        <v>21</v>
      </c>
      <c r="D361" s="5" t="s">
        <v>21</v>
      </c>
      <c r="E361" s="5" t="s">
        <v>21</v>
      </c>
      <c r="F361" s="5" t="s">
        <v>6935</v>
      </c>
      <c r="G361" s="5" t="s">
        <v>21</v>
      </c>
      <c r="H361" s="5" t="s">
        <v>21</v>
      </c>
      <c r="I361" s="5" t="s">
        <v>6936</v>
      </c>
      <c r="J361" s="12" t="s">
        <v>24</v>
      </c>
      <c r="K361" s="5" t="s">
        <v>21</v>
      </c>
      <c r="L361" s="5" t="s">
        <v>21</v>
      </c>
      <c r="M361" s="5" t="s">
        <v>25</v>
      </c>
      <c r="N361" s="5" t="s">
        <v>2836</v>
      </c>
      <c r="O361" s="5" t="s">
        <v>21</v>
      </c>
      <c r="P361" s="5" t="s">
        <v>21</v>
      </c>
      <c r="Q361" s="5" t="s">
        <v>21</v>
      </c>
      <c r="R361" s="5" t="s">
        <v>21</v>
      </c>
      <c r="S361" s="5" t="s">
        <v>21</v>
      </c>
      <c r="T361" s="5" t="s">
        <v>6937</v>
      </c>
      <c r="U361" s="5" t="s">
        <v>6938</v>
      </c>
      <c r="V361" s="5" t="s">
        <v>6939</v>
      </c>
      <c r="W361" s="5" t="s">
        <v>6940</v>
      </c>
      <c r="X361" s="5" t="s">
        <v>6941</v>
      </c>
      <c r="Y361" s="5" t="s">
        <v>6942</v>
      </c>
      <c r="Z361" s="5" t="s">
        <v>6943</v>
      </c>
      <c r="AA361" s="5" t="s">
        <v>6944</v>
      </c>
      <c r="AB361" s="5" t="s">
        <v>6945</v>
      </c>
      <c r="AC361" s="5" t="s">
        <v>6946</v>
      </c>
      <c r="AD361" s="5" t="s">
        <v>6946</v>
      </c>
      <c r="AE361" s="5" t="s">
        <v>6947</v>
      </c>
      <c r="AF361" s="5">
        <v>27</v>
      </c>
      <c r="AG361" s="5">
        <v>0</v>
      </c>
      <c r="AH361" s="5">
        <v>0</v>
      </c>
      <c r="AI361" s="5">
        <v>3</v>
      </c>
      <c r="AJ361" s="5">
        <v>3</v>
      </c>
      <c r="AK361" s="5" t="s">
        <v>35</v>
      </c>
      <c r="AL361" s="5" t="s">
        <v>36</v>
      </c>
      <c r="AM361" s="5" t="s">
        <v>37</v>
      </c>
      <c r="AN361" s="5" t="s">
        <v>38</v>
      </c>
      <c r="AO361" s="5" t="s">
        <v>39</v>
      </c>
      <c r="AP361" s="5" t="s">
        <v>21</v>
      </c>
      <c r="AQ361" s="5" t="s">
        <v>40</v>
      </c>
      <c r="AR361" s="5" t="s">
        <v>41</v>
      </c>
      <c r="AS361" s="5" t="s">
        <v>6948</v>
      </c>
      <c r="AT361" s="5">
        <v>2024</v>
      </c>
      <c r="AU361" s="5" t="s">
        <v>21</v>
      </c>
      <c r="AV361" s="5" t="s">
        <v>21</v>
      </c>
      <c r="AW361" s="5" t="s">
        <v>21</v>
      </c>
      <c r="AX361" s="5" t="s">
        <v>21</v>
      </c>
      <c r="AY361" s="5" t="s">
        <v>21</v>
      </c>
      <c r="AZ361" s="5" t="s">
        <v>21</v>
      </c>
      <c r="BA361" s="5" t="s">
        <v>21</v>
      </c>
      <c r="BB361" s="5" t="s">
        <v>21</v>
      </c>
      <c r="BC361" s="5" t="s">
        <v>21</v>
      </c>
      <c r="BD361" s="5" t="s">
        <v>6949</v>
      </c>
      <c r="BE361" s="5" t="str">
        <f>HYPERLINK("http://dx.doi.org/10.1007/s10803-024-06702-x","http://dx.doi.org/10.1007/s10803-024-06702-x")</f>
        <v>http://dx.doi.org/10.1007/s10803-024-06702-x</v>
      </c>
      <c r="BF361" s="5" t="s">
        <v>21</v>
      </c>
      <c r="BG361" s="5" t="s">
        <v>6950</v>
      </c>
      <c r="BH361" s="5">
        <v>10</v>
      </c>
      <c r="BI361" s="5" t="s">
        <v>44</v>
      </c>
      <c r="BJ361" s="5" t="s">
        <v>45</v>
      </c>
      <c r="BK361" s="5" t="s">
        <v>46</v>
      </c>
      <c r="BL361" s="5" t="s">
        <v>6951</v>
      </c>
      <c r="BM361" s="5">
        <v>39738788</v>
      </c>
      <c r="BN361" s="5" t="s">
        <v>21</v>
      </c>
      <c r="BO361" s="5" t="s">
        <v>21</v>
      </c>
      <c r="BP361" s="5" t="s">
        <v>21</v>
      </c>
      <c r="BQ361" s="5" t="s">
        <v>49</v>
      </c>
      <c r="BR361" s="5" t="s">
        <v>6952</v>
      </c>
      <c r="BS361" s="5" t="str">
        <f>HYPERLINK("https%3A%2F%2Fwww.webofscience.com%2Fwos%2Fwoscc%2Ffull-record%2FWOS:001387254100001","View Full Record in Web of Science")</f>
        <v>View Full Record in Web of Science</v>
      </c>
    </row>
    <row r="362" spans="1:71" x14ac:dyDescent="0.25">
      <c r="A362" t="s">
        <v>19</v>
      </c>
      <c r="B362" s="5" t="s">
        <v>6953</v>
      </c>
      <c r="C362" s="5" t="s">
        <v>21</v>
      </c>
      <c r="D362" s="5" t="s">
        <v>21</v>
      </c>
      <c r="E362" s="5" t="s">
        <v>21</v>
      </c>
      <c r="F362" s="5" t="s">
        <v>6954</v>
      </c>
      <c r="G362" s="5" t="s">
        <v>21</v>
      </c>
      <c r="H362" s="5" t="s">
        <v>21</v>
      </c>
      <c r="I362" s="5" t="s">
        <v>6955</v>
      </c>
      <c r="J362" s="12" t="s">
        <v>24</v>
      </c>
      <c r="K362" s="5" t="s">
        <v>21</v>
      </c>
      <c r="L362" s="5" t="s">
        <v>21</v>
      </c>
      <c r="M362" s="5" t="s">
        <v>25</v>
      </c>
      <c r="N362" s="5" t="s">
        <v>2836</v>
      </c>
      <c r="O362" s="5" t="s">
        <v>21</v>
      </c>
      <c r="P362" s="5" t="s">
        <v>21</v>
      </c>
      <c r="Q362" s="5" t="s">
        <v>21</v>
      </c>
      <c r="R362" s="5" t="s">
        <v>21</v>
      </c>
      <c r="S362" s="5" t="s">
        <v>21</v>
      </c>
      <c r="T362" s="5" t="s">
        <v>6956</v>
      </c>
      <c r="U362" s="5" t="s">
        <v>6957</v>
      </c>
      <c r="V362" s="5" t="s">
        <v>6958</v>
      </c>
      <c r="W362" s="5" t="s">
        <v>6959</v>
      </c>
      <c r="X362" s="5" t="s">
        <v>6960</v>
      </c>
      <c r="Y362" s="5" t="s">
        <v>6961</v>
      </c>
      <c r="Z362" s="5" t="s">
        <v>6962</v>
      </c>
      <c r="AA362" s="5" t="s">
        <v>6963</v>
      </c>
      <c r="AB362" s="5" t="s">
        <v>6964</v>
      </c>
      <c r="AC362" s="5" t="s">
        <v>21</v>
      </c>
      <c r="AD362" s="5" t="s">
        <v>21</v>
      </c>
      <c r="AE362" s="5" t="s">
        <v>21</v>
      </c>
      <c r="AF362" s="5">
        <v>52</v>
      </c>
      <c r="AG362" s="5">
        <v>0</v>
      </c>
      <c r="AH362" s="5">
        <v>0</v>
      </c>
      <c r="AI362" s="5">
        <v>2</v>
      </c>
      <c r="AJ362" s="5">
        <v>2</v>
      </c>
      <c r="AK362" s="5" t="s">
        <v>35</v>
      </c>
      <c r="AL362" s="5" t="s">
        <v>36</v>
      </c>
      <c r="AM362" s="5" t="s">
        <v>37</v>
      </c>
      <c r="AN362" s="5" t="s">
        <v>38</v>
      </c>
      <c r="AO362" s="5" t="s">
        <v>39</v>
      </c>
      <c r="AP362" s="5" t="s">
        <v>21</v>
      </c>
      <c r="AQ362" s="5" t="s">
        <v>40</v>
      </c>
      <c r="AR362" s="5" t="s">
        <v>41</v>
      </c>
      <c r="AS362" s="5" t="s">
        <v>6965</v>
      </c>
      <c r="AT362" s="5">
        <v>2024</v>
      </c>
      <c r="AU362" s="5" t="s">
        <v>21</v>
      </c>
      <c r="AV362" s="5" t="s">
        <v>21</v>
      </c>
      <c r="AW362" s="5" t="s">
        <v>21</v>
      </c>
      <c r="AX362" s="5" t="s">
        <v>21</v>
      </c>
      <c r="AY362" s="5" t="s">
        <v>21</v>
      </c>
      <c r="AZ362" s="5" t="s">
        <v>21</v>
      </c>
      <c r="BA362" s="5" t="s">
        <v>21</v>
      </c>
      <c r="BB362" s="5" t="s">
        <v>21</v>
      </c>
      <c r="BC362" s="5" t="s">
        <v>21</v>
      </c>
      <c r="BD362" s="5" t="s">
        <v>6966</v>
      </c>
      <c r="BE362" s="5" t="str">
        <f>HYPERLINK("http://dx.doi.org/10.1007/s10803-024-06678-8","http://dx.doi.org/10.1007/s10803-024-06678-8")</f>
        <v>http://dx.doi.org/10.1007/s10803-024-06678-8</v>
      </c>
      <c r="BF362" s="5" t="s">
        <v>21</v>
      </c>
      <c r="BG362" s="5" t="s">
        <v>6950</v>
      </c>
      <c r="BH362" s="5">
        <v>11</v>
      </c>
      <c r="BI362" s="5" t="s">
        <v>44</v>
      </c>
      <c r="BJ362" s="5" t="s">
        <v>45</v>
      </c>
      <c r="BK362" s="5" t="s">
        <v>46</v>
      </c>
      <c r="BL362" s="5" t="s">
        <v>6967</v>
      </c>
      <c r="BM362" s="5">
        <v>39708079</v>
      </c>
      <c r="BN362" s="5" t="s">
        <v>120</v>
      </c>
      <c r="BO362" s="5" t="s">
        <v>21</v>
      </c>
      <c r="BP362" s="5" t="s">
        <v>21</v>
      </c>
      <c r="BQ362" s="5" t="s">
        <v>49</v>
      </c>
      <c r="BR362" s="5" t="s">
        <v>6968</v>
      </c>
      <c r="BS362" s="5" t="str">
        <f>HYPERLINK("https%3A%2F%2Fwww.webofscience.com%2Fwos%2Fwoscc%2Ffull-record%2FWOS:001381623700001","View Full Record in Web of Science")</f>
        <v>View Full Record in Web of Science</v>
      </c>
    </row>
    <row r="363" spans="1:71" x14ac:dyDescent="0.25">
      <c r="A363" t="s">
        <v>19</v>
      </c>
      <c r="B363" s="5" t="s">
        <v>2621</v>
      </c>
      <c r="C363" s="5" t="s">
        <v>21</v>
      </c>
      <c r="D363" s="5" t="s">
        <v>21</v>
      </c>
      <c r="E363" s="5" t="s">
        <v>21</v>
      </c>
      <c r="F363" s="5" t="s">
        <v>2622</v>
      </c>
      <c r="G363" s="5" t="s">
        <v>21</v>
      </c>
      <c r="H363" s="5" t="s">
        <v>21</v>
      </c>
      <c r="I363" s="5" t="s">
        <v>6969</v>
      </c>
      <c r="J363" s="12" t="s">
        <v>3427</v>
      </c>
      <c r="K363" s="5" t="s">
        <v>21</v>
      </c>
      <c r="L363" s="5" t="s">
        <v>21</v>
      </c>
      <c r="M363" s="5" t="s">
        <v>25</v>
      </c>
      <c r="N363" s="5" t="s">
        <v>26</v>
      </c>
      <c r="O363" s="5" t="s">
        <v>21</v>
      </c>
      <c r="P363" s="5" t="s">
        <v>21</v>
      </c>
      <c r="Q363" s="5" t="s">
        <v>21</v>
      </c>
      <c r="R363" s="5" t="s">
        <v>21</v>
      </c>
      <c r="S363" s="5" t="s">
        <v>21</v>
      </c>
      <c r="T363" s="5" t="s">
        <v>6970</v>
      </c>
      <c r="U363" s="5" t="s">
        <v>6971</v>
      </c>
      <c r="V363" s="5" t="s">
        <v>6972</v>
      </c>
      <c r="W363" s="5" t="s">
        <v>6973</v>
      </c>
      <c r="X363" s="5" t="s">
        <v>6974</v>
      </c>
      <c r="Y363" s="5" t="s">
        <v>4848</v>
      </c>
      <c r="Z363" s="5" t="s">
        <v>4849</v>
      </c>
      <c r="AA363" s="5" t="s">
        <v>1983</v>
      </c>
      <c r="AB363" s="5" t="s">
        <v>877</v>
      </c>
      <c r="AC363" s="5" t="s">
        <v>21</v>
      </c>
      <c r="AD363" s="5" t="s">
        <v>21</v>
      </c>
      <c r="AE363" s="5" t="s">
        <v>21</v>
      </c>
      <c r="AF363" s="5">
        <v>94</v>
      </c>
      <c r="AG363" s="5">
        <v>0</v>
      </c>
      <c r="AH363" s="5">
        <v>0</v>
      </c>
      <c r="AI363" s="5">
        <v>5</v>
      </c>
      <c r="AJ363" s="5">
        <v>5</v>
      </c>
      <c r="AK363" s="5" t="s">
        <v>904</v>
      </c>
      <c r="AL363" s="5" t="s">
        <v>1497</v>
      </c>
      <c r="AM363" s="5" t="s">
        <v>1498</v>
      </c>
      <c r="AN363" s="5" t="s">
        <v>3434</v>
      </c>
      <c r="AO363" s="5" t="s">
        <v>3435</v>
      </c>
      <c r="AP363" s="5" t="s">
        <v>21</v>
      </c>
      <c r="AQ363" s="5" t="s">
        <v>3436</v>
      </c>
      <c r="AR363" s="5" t="s">
        <v>3437</v>
      </c>
      <c r="AS363" s="5" t="s">
        <v>176</v>
      </c>
      <c r="AT363" s="5">
        <v>2025</v>
      </c>
      <c r="AU363" s="5">
        <v>30</v>
      </c>
      <c r="AV363" s="5">
        <v>1</v>
      </c>
      <c r="AW363" s="5" t="s">
        <v>21</v>
      </c>
      <c r="AX363" s="5" t="s">
        <v>21</v>
      </c>
      <c r="AY363" s="5" t="s">
        <v>21</v>
      </c>
      <c r="AZ363" s="5" t="s">
        <v>21</v>
      </c>
      <c r="BA363" s="5">
        <v>539</v>
      </c>
      <c r="BB363" s="5">
        <v>560</v>
      </c>
      <c r="BC363" s="5" t="s">
        <v>21</v>
      </c>
      <c r="BD363" s="5" t="s">
        <v>6975</v>
      </c>
      <c r="BE363" s="5" t="str">
        <f>HYPERLINK("http://dx.doi.org/10.1007/s10758-024-09806-6","http://dx.doi.org/10.1007/s10758-024-09806-6")</f>
        <v>http://dx.doi.org/10.1007/s10758-024-09806-6</v>
      </c>
      <c r="BF363" s="5" t="s">
        <v>21</v>
      </c>
      <c r="BG363" s="5" t="s">
        <v>6950</v>
      </c>
      <c r="BH363" s="5">
        <v>22</v>
      </c>
      <c r="BI363" s="5" t="s">
        <v>503</v>
      </c>
      <c r="BJ363" s="5" t="s">
        <v>1907</v>
      </c>
      <c r="BK363" s="5" t="s">
        <v>503</v>
      </c>
      <c r="BL363" s="5" t="s">
        <v>6976</v>
      </c>
      <c r="BM363" s="5" t="s">
        <v>21</v>
      </c>
      <c r="BN363" s="5" t="s">
        <v>21</v>
      </c>
      <c r="BO363" s="5" t="s">
        <v>21</v>
      </c>
      <c r="BP363" s="5" t="s">
        <v>21</v>
      </c>
      <c r="BQ363" s="5" t="s">
        <v>49</v>
      </c>
      <c r="BR363" s="5" t="s">
        <v>6977</v>
      </c>
      <c r="BS363" s="5" t="str">
        <f>HYPERLINK("https%3A%2F%2Fwww.webofscience.com%2Fwos%2Fwoscc%2Ffull-record%2FWOS:001380886600001","View Full Record in Web of Science")</f>
        <v>View Full Record in Web of Science</v>
      </c>
    </row>
    <row r="364" spans="1:71" x14ac:dyDescent="0.25">
      <c r="A364" t="s">
        <v>19</v>
      </c>
      <c r="B364" s="5" t="s">
        <v>6978</v>
      </c>
      <c r="C364" s="5" t="s">
        <v>21</v>
      </c>
      <c r="D364" s="5" t="s">
        <v>21</v>
      </c>
      <c r="E364" s="5" t="s">
        <v>21</v>
      </c>
      <c r="F364" s="5" t="s">
        <v>6979</v>
      </c>
      <c r="G364" s="5" t="s">
        <v>21</v>
      </c>
      <c r="H364" s="5" t="s">
        <v>21</v>
      </c>
      <c r="I364" s="5" t="s">
        <v>6980</v>
      </c>
      <c r="J364" s="12" t="s">
        <v>6981</v>
      </c>
      <c r="K364" s="5" t="s">
        <v>21</v>
      </c>
      <c r="L364" s="5" t="s">
        <v>21</v>
      </c>
      <c r="M364" s="5" t="s">
        <v>25</v>
      </c>
      <c r="N364" s="5" t="s">
        <v>26</v>
      </c>
      <c r="O364" s="5" t="s">
        <v>21</v>
      </c>
      <c r="P364" s="5" t="s">
        <v>21</v>
      </c>
      <c r="Q364" s="5" t="s">
        <v>21</v>
      </c>
      <c r="R364" s="5" t="s">
        <v>21</v>
      </c>
      <c r="S364" s="5" t="s">
        <v>21</v>
      </c>
      <c r="T364" s="5" t="s">
        <v>21</v>
      </c>
      <c r="U364" s="5" t="s">
        <v>6982</v>
      </c>
      <c r="V364" s="5" t="s">
        <v>6983</v>
      </c>
      <c r="W364" s="5" t="s">
        <v>6984</v>
      </c>
      <c r="X364" s="5" t="s">
        <v>6985</v>
      </c>
      <c r="Y364" s="5" t="s">
        <v>6986</v>
      </c>
      <c r="Z364" s="5" t="s">
        <v>6987</v>
      </c>
      <c r="AA364" s="5" t="s">
        <v>6988</v>
      </c>
      <c r="AB364" s="5" t="s">
        <v>6989</v>
      </c>
      <c r="AC364" s="5" t="s">
        <v>6990</v>
      </c>
      <c r="AD364" s="5" t="s">
        <v>6991</v>
      </c>
      <c r="AE364" s="5" t="s">
        <v>6992</v>
      </c>
      <c r="AF364" s="5">
        <v>99</v>
      </c>
      <c r="AG364" s="5">
        <v>0</v>
      </c>
      <c r="AH364" s="5">
        <v>0</v>
      </c>
      <c r="AI364" s="5">
        <v>9</v>
      </c>
      <c r="AJ364" s="5">
        <v>9</v>
      </c>
      <c r="AK364" s="5" t="s">
        <v>2612</v>
      </c>
      <c r="AL364" s="5" t="s">
        <v>2315</v>
      </c>
      <c r="AM364" s="5" t="s">
        <v>2613</v>
      </c>
      <c r="AN364" s="5" t="s">
        <v>6993</v>
      </c>
      <c r="AO364" s="5" t="s">
        <v>21</v>
      </c>
      <c r="AP364" s="5" t="s">
        <v>21</v>
      </c>
      <c r="AQ364" s="5" t="s">
        <v>6994</v>
      </c>
      <c r="AR364" s="5" t="s">
        <v>6995</v>
      </c>
      <c r="AS364" s="5" t="s">
        <v>6996</v>
      </c>
      <c r="AT364" s="5">
        <v>2024</v>
      </c>
      <c r="AU364" s="5">
        <v>7</v>
      </c>
      <c r="AV364" s="5">
        <v>1</v>
      </c>
      <c r="AW364" s="5" t="s">
        <v>21</v>
      </c>
      <c r="AX364" s="5" t="s">
        <v>21</v>
      </c>
      <c r="AY364" s="5" t="s">
        <v>21</v>
      </c>
      <c r="AZ364" s="5" t="s">
        <v>21</v>
      </c>
      <c r="BA364" s="5" t="s">
        <v>21</v>
      </c>
      <c r="BB364" s="5" t="s">
        <v>21</v>
      </c>
      <c r="BC364" s="5">
        <v>370</v>
      </c>
      <c r="BD364" s="5" t="s">
        <v>6997</v>
      </c>
      <c r="BE364" s="5" t="str">
        <f>HYPERLINK("http://dx.doi.org/10.1038/s41746-024-01355-7","http://dx.doi.org/10.1038/s41746-024-01355-7")</f>
        <v>http://dx.doi.org/10.1038/s41746-024-01355-7</v>
      </c>
      <c r="BF364" s="5" t="s">
        <v>21</v>
      </c>
      <c r="BG364" s="5" t="s">
        <v>21</v>
      </c>
      <c r="BH364" s="5">
        <v>14</v>
      </c>
      <c r="BI364" s="5" t="s">
        <v>4427</v>
      </c>
      <c r="BJ364" s="5" t="s">
        <v>524</v>
      </c>
      <c r="BK364" s="5" t="s">
        <v>4427</v>
      </c>
      <c r="BL364" s="5" t="s">
        <v>6998</v>
      </c>
      <c r="BM364" s="5">
        <v>39702672</v>
      </c>
      <c r="BN364" s="5" t="s">
        <v>1909</v>
      </c>
      <c r="BO364" s="5" t="s">
        <v>21</v>
      </c>
      <c r="BP364" s="5" t="s">
        <v>21</v>
      </c>
      <c r="BQ364" s="5" t="s">
        <v>49</v>
      </c>
      <c r="BR364" s="5" t="s">
        <v>6999</v>
      </c>
      <c r="BS364" s="5" t="str">
        <f>HYPERLINK("https%3A%2F%2Fwww.webofscience.com%2Fwos%2Fwoscc%2Ffull-record%2FWOS:001380247100004","View Full Record in Web of Science")</f>
        <v>View Full Record in Web of Science</v>
      </c>
    </row>
    <row r="365" spans="1:71" x14ac:dyDescent="0.25">
      <c r="A365" t="s">
        <v>19</v>
      </c>
      <c r="B365" s="5" t="s">
        <v>7000</v>
      </c>
      <c r="C365" s="5" t="s">
        <v>21</v>
      </c>
      <c r="D365" s="5" t="s">
        <v>21</v>
      </c>
      <c r="E365" s="5" t="s">
        <v>21</v>
      </c>
      <c r="F365" s="5" t="s">
        <v>7001</v>
      </c>
      <c r="G365" s="5" t="s">
        <v>21</v>
      </c>
      <c r="H365" s="5" t="s">
        <v>21</v>
      </c>
      <c r="I365" s="5" t="s">
        <v>7002</v>
      </c>
      <c r="J365" s="12" t="s">
        <v>4204</v>
      </c>
      <c r="K365" s="5" t="s">
        <v>21</v>
      </c>
      <c r="L365" s="5" t="s">
        <v>21</v>
      </c>
      <c r="M365" s="5" t="s">
        <v>25</v>
      </c>
      <c r="N365" s="5" t="s">
        <v>76</v>
      </c>
      <c r="O365" s="5" t="s">
        <v>21</v>
      </c>
      <c r="P365" s="5" t="s">
        <v>21</v>
      </c>
      <c r="Q365" s="5" t="s">
        <v>21</v>
      </c>
      <c r="R365" s="5" t="s">
        <v>21</v>
      </c>
      <c r="S365" s="5" t="s">
        <v>21</v>
      </c>
      <c r="T365" s="5" t="s">
        <v>7003</v>
      </c>
      <c r="U365" s="5" t="s">
        <v>7004</v>
      </c>
      <c r="V365" s="5" t="s">
        <v>7005</v>
      </c>
      <c r="W365" s="5" t="s">
        <v>7006</v>
      </c>
      <c r="X365" s="5" t="s">
        <v>7007</v>
      </c>
      <c r="Y365" s="5" t="s">
        <v>7008</v>
      </c>
      <c r="Z365" s="5" t="s">
        <v>7009</v>
      </c>
      <c r="AA365" s="5" t="s">
        <v>7010</v>
      </c>
      <c r="AB365" s="5" t="s">
        <v>7011</v>
      </c>
      <c r="AC365" s="5" t="s">
        <v>21</v>
      </c>
      <c r="AD365" s="5" t="s">
        <v>21</v>
      </c>
      <c r="AE365" s="5" t="s">
        <v>21</v>
      </c>
      <c r="AF365" s="5">
        <v>101</v>
      </c>
      <c r="AG365" s="5">
        <v>0</v>
      </c>
      <c r="AH365" s="5">
        <v>0</v>
      </c>
      <c r="AI365" s="5">
        <v>5</v>
      </c>
      <c r="AJ365" s="5">
        <v>5</v>
      </c>
      <c r="AK365" s="5" t="s">
        <v>1623</v>
      </c>
      <c r="AL365" s="5" t="s">
        <v>1624</v>
      </c>
      <c r="AM365" s="5" t="s">
        <v>1625</v>
      </c>
      <c r="AN365" s="5" t="s">
        <v>4214</v>
      </c>
      <c r="AO365" s="5" t="s">
        <v>4215</v>
      </c>
      <c r="AP365" s="5" t="s">
        <v>21</v>
      </c>
      <c r="AQ365" s="5" t="s">
        <v>4216</v>
      </c>
      <c r="AR365" s="5" t="s">
        <v>4217</v>
      </c>
      <c r="AS365" s="5" t="s">
        <v>42</v>
      </c>
      <c r="AT365" s="5">
        <v>2025</v>
      </c>
      <c r="AU365" s="5">
        <v>15</v>
      </c>
      <c r="AV365" s="5">
        <v>1</v>
      </c>
      <c r="AW365" s="5" t="s">
        <v>21</v>
      </c>
      <c r="AX365" s="5" t="s">
        <v>21</v>
      </c>
      <c r="AY365" s="5" t="s">
        <v>21</v>
      </c>
      <c r="AZ365" s="5" t="s">
        <v>21</v>
      </c>
      <c r="BA365" s="5">
        <v>29</v>
      </c>
      <c r="BB365" s="5">
        <v>40</v>
      </c>
      <c r="BC365" s="5" t="s">
        <v>21</v>
      </c>
      <c r="BD365" s="5" t="s">
        <v>7012</v>
      </c>
      <c r="BE365" s="5" t="str">
        <f>HYPERLINK("http://dx.doi.org/10.1007/s12553-024-00935-7","http://dx.doi.org/10.1007/s12553-024-00935-7")</f>
        <v>http://dx.doi.org/10.1007/s12553-024-00935-7</v>
      </c>
      <c r="BF365" s="5" t="s">
        <v>21</v>
      </c>
      <c r="BG365" s="5" t="s">
        <v>6950</v>
      </c>
      <c r="BH365" s="5">
        <v>12</v>
      </c>
      <c r="BI365" s="5" t="s">
        <v>4219</v>
      </c>
      <c r="BJ365" s="5" t="s">
        <v>1907</v>
      </c>
      <c r="BK365" s="5" t="s">
        <v>4219</v>
      </c>
      <c r="BL365" s="5" t="s">
        <v>7013</v>
      </c>
      <c r="BM365" s="5" t="s">
        <v>21</v>
      </c>
      <c r="BN365" s="5" t="s">
        <v>21</v>
      </c>
      <c r="BO365" s="5" t="s">
        <v>21</v>
      </c>
      <c r="BP365" s="5" t="s">
        <v>21</v>
      </c>
      <c r="BQ365" s="5" t="s">
        <v>49</v>
      </c>
      <c r="BR365" s="5" t="s">
        <v>7014</v>
      </c>
      <c r="BS365" s="5" t="str">
        <f>HYPERLINK("https%3A%2F%2Fwww.webofscience.com%2Fwos%2Fwoscc%2Ffull-record%2FWOS:001381179100001","View Full Record in Web of Science")</f>
        <v>View Full Record in Web of Science</v>
      </c>
    </row>
    <row r="366" spans="1:71" x14ac:dyDescent="0.25">
      <c r="A366" t="s">
        <v>19</v>
      </c>
      <c r="B366" s="5" t="s">
        <v>7015</v>
      </c>
      <c r="C366" s="5" t="s">
        <v>21</v>
      </c>
      <c r="D366" s="5" t="s">
        <v>21</v>
      </c>
      <c r="E366" s="5" t="s">
        <v>21</v>
      </c>
      <c r="F366" s="5" t="s">
        <v>7016</v>
      </c>
      <c r="G366" s="5" t="s">
        <v>21</v>
      </c>
      <c r="H366" s="5" t="s">
        <v>21</v>
      </c>
      <c r="I366" s="5" t="s">
        <v>7017</v>
      </c>
      <c r="J366" s="12" t="s">
        <v>2329</v>
      </c>
      <c r="K366" s="5" t="s">
        <v>21</v>
      </c>
      <c r="L366" s="5" t="s">
        <v>21</v>
      </c>
      <c r="M366" s="5" t="s">
        <v>25</v>
      </c>
      <c r="N366" s="5" t="s">
        <v>26</v>
      </c>
      <c r="O366" s="5" t="s">
        <v>21</v>
      </c>
      <c r="P366" s="5" t="s">
        <v>21</v>
      </c>
      <c r="Q366" s="5" t="s">
        <v>21</v>
      </c>
      <c r="R366" s="5" t="s">
        <v>21</v>
      </c>
      <c r="S366" s="5" t="s">
        <v>21</v>
      </c>
      <c r="T366" s="5" t="s">
        <v>7018</v>
      </c>
      <c r="U366" s="5" t="s">
        <v>7019</v>
      </c>
      <c r="V366" s="5" t="s">
        <v>7020</v>
      </c>
      <c r="W366" s="5" t="s">
        <v>7021</v>
      </c>
      <c r="X366" s="5" t="s">
        <v>7022</v>
      </c>
      <c r="Y366" s="5" t="s">
        <v>7023</v>
      </c>
      <c r="Z366" s="5" t="s">
        <v>7024</v>
      </c>
      <c r="AA366" s="5" t="s">
        <v>7025</v>
      </c>
      <c r="AB366" s="5" t="s">
        <v>7026</v>
      </c>
      <c r="AC366" s="5" t="s">
        <v>21</v>
      </c>
      <c r="AD366" s="5" t="s">
        <v>21</v>
      </c>
      <c r="AE366" s="5" t="s">
        <v>21</v>
      </c>
      <c r="AF366" s="5">
        <v>63</v>
      </c>
      <c r="AG366" s="5">
        <v>0</v>
      </c>
      <c r="AH366" s="5">
        <v>0</v>
      </c>
      <c r="AI366" s="5">
        <v>10</v>
      </c>
      <c r="AJ366" s="5">
        <v>10</v>
      </c>
      <c r="AK366" s="5" t="s">
        <v>153</v>
      </c>
      <c r="AL366" s="5" t="s">
        <v>154</v>
      </c>
      <c r="AM366" s="5" t="s">
        <v>155</v>
      </c>
      <c r="AN366" s="5" t="s">
        <v>2342</v>
      </c>
      <c r="AO366" s="5" t="s">
        <v>21</v>
      </c>
      <c r="AP366" s="5" t="s">
        <v>21</v>
      </c>
      <c r="AQ366" s="5" t="s">
        <v>2343</v>
      </c>
      <c r="AR366" s="5" t="s">
        <v>2344</v>
      </c>
      <c r="AS366" s="5" t="s">
        <v>7027</v>
      </c>
      <c r="AT366" s="5">
        <v>2024</v>
      </c>
      <c r="AU366" s="5" t="s">
        <v>269</v>
      </c>
      <c r="AV366" s="5" t="s">
        <v>21</v>
      </c>
      <c r="AW366" s="5" t="s">
        <v>21</v>
      </c>
      <c r="AX366" s="5" t="s">
        <v>21</v>
      </c>
      <c r="AY366" s="5" t="s">
        <v>21</v>
      </c>
      <c r="AZ366" s="5" t="s">
        <v>21</v>
      </c>
      <c r="BA366" s="5" t="s">
        <v>21</v>
      </c>
      <c r="BB366" s="5" t="s">
        <v>21</v>
      </c>
      <c r="BC366" s="5">
        <v>1484726</v>
      </c>
      <c r="BD366" s="5" t="s">
        <v>7028</v>
      </c>
      <c r="BE366" s="5" t="str">
        <f>HYPERLINK("http://dx.doi.org/10.3389/fpsyg.2024.1484726","http://dx.doi.org/10.3389/fpsyg.2024.1484726")</f>
        <v>http://dx.doi.org/10.3389/fpsyg.2024.1484726</v>
      </c>
      <c r="BF366" s="5" t="s">
        <v>21</v>
      </c>
      <c r="BG366" s="5" t="s">
        <v>21</v>
      </c>
      <c r="BH366" s="5">
        <v>12</v>
      </c>
      <c r="BI366" s="5" t="s">
        <v>825</v>
      </c>
      <c r="BJ366" s="5" t="s">
        <v>45</v>
      </c>
      <c r="BK366" s="5" t="s">
        <v>46</v>
      </c>
      <c r="BL366" s="5" t="s">
        <v>7029</v>
      </c>
      <c r="BM366" s="5">
        <v>39744037</v>
      </c>
      <c r="BN366" s="5" t="s">
        <v>1909</v>
      </c>
      <c r="BO366" s="5" t="s">
        <v>21</v>
      </c>
      <c r="BP366" s="5" t="s">
        <v>21</v>
      </c>
      <c r="BQ366" s="5" t="s">
        <v>49</v>
      </c>
      <c r="BR366" s="5" t="s">
        <v>7030</v>
      </c>
      <c r="BS366" s="5" t="str">
        <f>HYPERLINK("https%3A%2F%2Fwww.webofscience.com%2Fwos%2Fwoscc%2Ffull-record%2FWOS:001389761200001","View Full Record in Web of Science")</f>
        <v>View Full Record in Web of Science</v>
      </c>
    </row>
    <row r="367" spans="1:71" x14ac:dyDescent="0.25">
      <c r="A367" t="s">
        <v>19</v>
      </c>
      <c r="B367" s="5" t="s">
        <v>7031</v>
      </c>
      <c r="C367" s="5" t="s">
        <v>21</v>
      </c>
      <c r="D367" s="5" t="s">
        <v>21</v>
      </c>
      <c r="E367" s="5" t="s">
        <v>21</v>
      </c>
      <c r="F367" s="5" t="s">
        <v>7032</v>
      </c>
      <c r="G367" s="5" t="s">
        <v>21</v>
      </c>
      <c r="H367" s="5" t="s">
        <v>21</v>
      </c>
      <c r="I367" s="5" t="s">
        <v>7033</v>
      </c>
      <c r="J367" s="12" t="s">
        <v>7034</v>
      </c>
      <c r="K367" s="5" t="s">
        <v>21</v>
      </c>
      <c r="L367" s="5" t="s">
        <v>21</v>
      </c>
      <c r="M367" s="5" t="s">
        <v>3664</v>
      </c>
      <c r="N367" s="5" t="s">
        <v>26</v>
      </c>
      <c r="O367" s="5" t="s">
        <v>21</v>
      </c>
      <c r="P367" s="5" t="s">
        <v>21</v>
      </c>
      <c r="Q367" s="5" t="s">
        <v>21</v>
      </c>
      <c r="R367" s="5" t="s">
        <v>21</v>
      </c>
      <c r="S367" s="5" t="s">
        <v>21</v>
      </c>
      <c r="T367" s="5" t="s">
        <v>7035</v>
      </c>
      <c r="U367" s="5" t="s">
        <v>7036</v>
      </c>
      <c r="V367" s="5" t="s">
        <v>7037</v>
      </c>
      <c r="W367" s="5" t="s">
        <v>7038</v>
      </c>
      <c r="X367" s="5" t="s">
        <v>3565</v>
      </c>
      <c r="Y367" s="5" t="s">
        <v>7039</v>
      </c>
      <c r="Z367" s="5" t="s">
        <v>3567</v>
      </c>
      <c r="AA367" s="5" t="s">
        <v>7040</v>
      </c>
      <c r="AB367" s="5" t="s">
        <v>21</v>
      </c>
      <c r="AC367" s="5" t="s">
        <v>21</v>
      </c>
      <c r="AD367" s="5" t="s">
        <v>21</v>
      </c>
      <c r="AE367" s="5" t="s">
        <v>21</v>
      </c>
      <c r="AF367" s="5">
        <v>35</v>
      </c>
      <c r="AG367" s="5">
        <v>0</v>
      </c>
      <c r="AH367" s="5">
        <v>0</v>
      </c>
      <c r="AI367" s="5">
        <v>3</v>
      </c>
      <c r="AJ367" s="5">
        <v>3</v>
      </c>
      <c r="AK367" s="5" t="s">
        <v>7041</v>
      </c>
      <c r="AL367" s="5" t="s">
        <v>7042</v>
      </c>
      <c r="AM367" s="5" t="s">
        <v>7043</v>
      </c>
      <c r="AN367" s="5" t="s">
        <v>7044</v>
      </c>
      <c r="AO367" s="5" t="s">
        <v>7045</v>
      </c>
      <c r="AP367" s="5" t="s">
        <v>21</v>
      </c>
      <c r="AQ367" s="5" t="s">
        <v>7046</v>
      </c>
      <c r="AR367" s="5" t="s">
        <v>7047</v>
      </c>
      <c r="AS367" s="5" t="s">
        <v>269</v>
      </c>
      <c r="AT367" s="5">
        <v>2024</v>
      </c>
      <c r="AU367" s="5">
        <v>17</v>
      </c>
      <c r="AV367" s="5">
        <v>2</v>
      </c>
      <c r="AW367" s="5" t="s">
        <v>21</v>
      </c>
      <c r="AX367" s="5" t="s">
        <v>21</v>
      </c>
      <c r="AY367" s="5" t="s">
        <v>21</v>
      </c>
      <c r="AZ367" s="5" t="s">
        <v>21</v>
      </c>
      <c r="BA367" s="5">
        <v>97</v>
      </c>
      <c r="BB367" s="5">
        <v>119</v>
      </c>
      <c r="BC367" s="5" t="s">
        <v>21</v>
      </c>
      <c r="BD367" s="5" t="s">
        <v>21</v>
      </c>
      <c r="BE367" s="5" t="s">
        <v>21</v>
      </c>
      <c r="BF367" s="5" t="s">
        <v>21</v>
      </c>
      <c r="BG367" s="5" t="s">
        <v>21</v>
      </c>
      <c r="BH367" s="5">
        <v>23</v>
      </c>
      <c r="BI367" s="5" t="s">
        <v>1480</v>
      </c>
      <c r="BJ367" s="5" t="s">
        <v>1907</v>
      </c>
      <c r="BK367" s="5" t="s">
        <v>503</v>
      </c>
      <c r="BL367" s="5" t="s">
        <v>7048</v>
      </c>
      <c r="BM367" s="5" t="s">
        <v>21</v>
      </c>
      <c r="BN367" s="5" t="s">
        <v>21</v>
      </c>
      <c r="BO367" s="5" t="s">
        <v>21</v>
      </c>
      <c r="BP367" s="5" t="s">
        <v>21</v>
      </c>
      <c r="BQ367" s="5" t="s">
        <v>49</v>
      </c>
      <c r="BR367" s="5" t="s">
        <v>7049</v>
      </c>
      <c r="BS367" s="5" t="str">
        <f>HYPERLINK("https%3A%2F%2Fwww.webofscience.com%2Fwos%2Fwoscc%2Ffull-record%2FWOS:001389505900006","View Full Record in Web of Science")</f>
        <v>View Full Record in Web of Science</v>
      </c>
    </row>
    <row r="368" spans="1:71" x14ac:dyDescent="0.25">
      <c r="A368" t="s">
        <v>19</v>
      </c>
      <c r="B368" s="5" t="s">
        <v>7050</v>
      </c>
      <c r="C368" s="5" t="s">
        <v>21</v>
      </c>
      <c r="D368" s="5" t="s">
        <v>21</v>
      </c>
      <c r="E368" s="5" t="s">
        <v>21</v>
      </c>
      <c r="F368" s="5" t="s">
        <v>7051</v>
      </c>
      <c r="G368" s="5" t="s">
        <v>21</v>
      </c>
      <c r="H368" s="5" t="s">
        <v>21</v>
      </c>
      <c r="I368" s="5" t="s">
        <v>7052</v>
      </c>
      <c r="J368" s="12" t="s">
        <v>7053</v>
      </c>
      <c r="K368" s="5" t="s">
        <v>21</v>
      </c>
      <c r="L368" s="5" t="s">
        <v>21</v>
      </c>
      <c r="M368" s="5" t="s">
        <v>25</v>
      </c>
      <c r="N368" s="5" t="s">
        <v>26</v>
      </c>
      <c r="O368" s="5" t="s">
        <v>21</v>
      </c>
      <c r="P368" s="5" t="s">
        <v>21</v>
      </c>
      <c r="Q368" s="5" t="s">
        <v>21</v>
      </c>
      <c r="R368" s="5" t="s">
        <v>21</v>
      </c>
      <c r="S368" s="5" t="s">
        <v>21</v>
      </c>
      <c r="T368" s="5" t="s">
        <v>7054</v>
      </c>
      <c r="U368" s="5" t="s">
        <v>7055</v>
      </c>
      <c r="V368" s="5" t="s">
        <v>7056</v>
      </c>
      <c r="W368" s="5" t="s">
        <v>7057</v>
      </c>
      <c r="X368" s="5" t="s">
        <v>7058</v>
      </c>
      <c r="Y368" s="5" t="s">
        <v>7059</v>
      </c>
      <c r="Z368" s="5" t="s">
        <v>7060</v>
      </c>
      <c r="AA368" s="5" t="s">
        <v>21</v>
      </c>
      <c r="AB368" s="5" t="s">
        <v>7061</v>
      </c>
      <c r="AC368" s="5" t="s">
        <v>21</v>
      </c>
      <c r="AD368" s="5" t="s">
        <v>21</v>
      </c>
      <c r="AE368" s="5" t="s">
        <v>21</v>
      </c>
      <c r="AF368" s="5">
        <v>47</v>
      </c>
      <c r="AG368" s="5">
        <v>0</v>
      </c>
      <c r="AH368" s="5">
        <v>0</v>
      </c>
      <c r="AI368" s="5">
        <v>4</v>
      </c>
      <c r="AJ368" s="5">
        <v>4</v>
      </c>
      <c r="AK368" s="5" t="s">
        <v>659</v>
      </c>
      <c r="AL368" s="5" t="s">
        <v>660</v>
      </c>
      <c r="AM368" s="5" t="s">
        <v>661</v>
      </c>
      <c r="AN368" s="5" t="s">
        <v>7062</v>
      </c>
      <c r="AO368" s="5" t="s">
        <v>7063</v>
      </c>
      <c r="AP368" s="5" t="s">
        <v>21</v>
      </c>
      <c r="AQ368" s="5" t="s">
        <v>7064</v>
      </c>
      <c r="AR368" s="5" t="s">
        <v>7065</v>
      </c>
      <c r="AS368" s="5" t="s">
        <v>269</v>
      </c>
      <c r="AT368" s="5">
        <v>2024</v>
      </c>
      <c r="AU368" s="5">
        <v>16</v>
      </c>
      <c r="AV368" s="5">
        <v>4</v>
      </c>
      <c r="AW368" s="5" t="s">
        <v>21</v>
      </c>
      <c r="AX368" s="5" t="s">
        <v>21</v>
      </c>
      <c r="AY368" s="5" t="s">
        <v>21</v>
      </c>
      <c r="AZ368" s="5" t="s">
        <v>21</v>
      </c>
      <c r="BA368" s="5">
        <v>981</v>
      </c>
      <c r="BB368" s="5">
        <v>992</v>
      </c>
      <c r="BC368" s="5" t="s">
        <v>21</v>
      </c>
      <c r="BD368" s="5" t="s">
        <v>7066</v>
      </c>
      <c r="BE368" s="5" t="str">
        <f>HYPERLINK("http://dx.doi.org/10.1109/TG.2024.3410163","http://dx.doi.org/10.1109/TG.2024.3410163")</f>
        <v>http://dx.doi.org/10.1109/TG.2024.3410163</v>
      </c>
      <c r="BF368" s="5" t="s">
        <v>21</v>
      </c>
      <c r="BG368" s="5" t="s">
        <v>21</v>
      </c>
      <c r="BH368" s="5">
        <v>12</v>
      </c>
      <c r="BI368" s="5" t="s">
        <v>7067</v>
      </c>
      <c r="BJ368" s="5" t="s">
        <v>524</v>
      </c>
      <c r="BK368" s="5" t="s">
        <v>715</v>
      </c>
      <c r="BL368" s="5" t="s">
        <v>7068</v>
      </c>
      <c r="BM368" s="5" t="s">
        <v>21</v>
      </c>
      <c r="BN368" s="5" t="s">
        <v>21</v>
      </c>
      <c r="BO368" s="5" t="s">
        <v>21</v>
      </c>
      <c r="BP368" s="5" t="s">
        <v>21</v>
      </c>
      <c r="BQ368" s="5" t="s">
        <v>49</v>
      </c>
      <c r="BR368" s="5" t="s">
        <v>7069</v>
      </c>
      <c r="BS368" s="5" t="str">
        <f>HYPERLINK("https%3A%2F%2Fwww.webofscience.com%2Fwos%2Fwoscc%2Ffull-record%2FWOS:001381392800001","View Full Record in Web of Science")</f>
        <v>View Full Record in Web of Science</v>
      </c>
    </row>
    <row r="369" spans="1:71" x14ac:dyDescent="0.25">
      <c r="A369" t="s">
        <v>19</v>
      </c>
      <c r="B369" s="5" t="s">
        <v>7070</v>
      </c>
      <c r="C369" s="5" t="s">
        <v>21</v>
      </c>
      <c r="D369" s="5" t="s">
        <v>21</v>
      </c>
      <c r="E369" s="5" t="s">
        <v>21</v>
      </c>
      <c r="F369" s="5" t="s">
        <v>7071</v>
      </c>
      <c r="G369" s="5" t="s">
        <v>21</v>
      </c>
      <c r="H369" s="5" t="s">
        <v>21</v>
      </c>
      <c r="I369" s="5" t="s">
        <v>7072</v>
      </c>
      <c r="J369" s="12" t="s">
        <v>7073</v>
      </c>
      <c r="K369" s="5" t="s">
        <v>21</v>
      </c>
      <c r="L369" s="5" t="s">
        <v>21</v>
      </c>
      <c r="M369" s="5" t="s">
        <v>25</v>
      </c>
      <c r="N369" s="5" t="s">
        <v>26</v>
      </c>
      <c r="O369" s="5" t="s">
        <v>21</v>
      </c>
      <c r="P369" s="5" t="s">
        <v>21</v>
      </c>
      <c r="Q369" s="5" t="s">
        <v>21</v>
      </c>
      <c r="R369" s="5" t="s">
        <v>21</v>
      </c>
      <c r="S369" s="5" t="s">
        <v>21</v>
      </c>
      <c r="T369" s="5" t="s">
        <v>7074</v>
      </c>
      <c r="U369" s="5" t="s">
        <v>7075</v>
      </c>
      <c r="V369" s="5" t="s">
        <v>7076</v>
      </c>
      <c r="W369" s="5" t="s">
        <v>7077</v>
      </c>
      <c r="X369" s="5" t="s">
        <v>7078</v>
      </c>
      <c r="Y369" s="5" t="s">
        <v>7079</v>
      </c>
      <c r="Z369" s="5" t="s">
        <v>7080</v>
      </c>
      <c r="AA369" s="5" t="s">
        <v>21</v>
      </c>
      <c r="AB369" s="5" t="s">
        <v>7081</v>
      </c>
      <c r="AC369" s="5" t="s">
        <v>7082</v>
      </c>
      <c r="AD369" s="5" t="s">
        <v>7083</v>
      </c>
      <c r="AE369" s="5" t="s">
        <v>7084</v>
      </c>
      <c r="AF369" s="5">
        <v>40</v>
      </c>
      <c r="AG369" s="5">
        <v>0</v>
      </c>
      <c r="AH369" s="5">
        <v>0</v>
      </c>
      <c r="AI369" s="5">
        <v>2</v>
      </c>
      <c r="AJ369" s="5">
        <v>2</v>
      </c>
      <c r="AK369" s="5" t="s">
        <v>193</v>
      </c>
      <c r="AL369" s="5" t="s">
        <v>194</v>
      </c>
      <c r="AM369" s="5" t="s">
        <v>195</v>
      </c>
      <c r="AN369" s="5" t="s">
        <v>21</v>
      </c>
      <c r="AO369" s="5" t="s">
        <v>7085</v>
      </c>
      <c r="AP369" s="5" t="s">
        <v>21</v>
      </c>
      <c r="AQ369" s="5" t="s">
        <v>7086</v>
      </c>
      <c r="AR369" s="5" t="s">
        <v>7087</v>
      </c>
      <c r="AS369" s="5" t="s">
        <v>269</v>
      </c>
      <c r="AT369" s="5">
        <v>2024</v>
      </c>
      <c r="AU369" s="5">
        <v>8</v>
      </c>
      <c r="AV369" s="5">
        <v>12</v>
      </c>
      <c r="AW369" s="5" t="s">
        <v>21</v>
      </c>
      <c r="AX369" s="5" t="s">
        <v>21</v>
      </c>
      <c r="AY369" s="5" t="s">
        <v>21</v>
      </c>
      <c r="AZ369" s="5" t="s">
        <v>21</v>
      </c>
      <c r="BA369" s="5" t="s">
        <v>21</v>
      </c>
      <c r="BB369" s="5" t="s">
        <v>21</v>
      </c>
      <c r="BC369" s="5">
        <v>113</v>
      </c>
      <c r="BD369" s="5" t="s">
        <v>7088</v>
      </c>
      <c r="BE369" s="5" t="str">
        <f>HYPERLINK("http://dx.doi.org/10.3390/mti8120113","http://dx.doi.org/10.3390/mti8120113")</f>
        <v>http://dx.doi.org/10.3390/mti8120113</v>
      </c>
      <c r="BF369" s="5" t="s">
        <v>21</v>
      </c>
      <c r="BG369" s="5" t="s">
        <v>21</v>
      </c>
      <c r="BH369" s="5">
        <v>13</v>
      </c>
      <c r="BI369" s="5" t="s">
        <v>7089</v>
      </c>
      <c r="BJ369" s="5" t="s">
        <v>1907</v>
      </c>
      <c r="BK369" s="5" t="s">
        <v>715</v>
      </c>
      <c r="BL369" s="5" t="s">
        <v>7090</v>
      </c>
      <c r="BM369" s="5" t="s">
        <v>21</v>
      </c>
      <c r="BN369" s="5" t="s">
        <v>1909</v>
      </c>
      <c r="BO369" s="5" t="s">
        <v>21</v>
      </c>
      <c r="BP369" s="5" t="s">
        <v>21</v>
      </c>
      <c r="BQ369" s="5" t="s">
        <v>49</v>
      </c>
      <c r="BR369" s="5" t="s">
        <v>7091</v>
      </c>
      <c r="BS369" s="5" t="str">
        <f>HYPERLINK("https%3A%2F%2Fwww.webofscience.com%2Fwos%2Fwoscc%2Ffull-record%2FWOS:001384753100001","View Full Record in Web of Science")</f>
        <v>View Full Record in Web of Science</v>
      </c>
    </row>
    <row r="370" spans="1:71" x14ac:dyDescent="0.25">
      <c r="A370" t="s">
        <v>19</v>
      </c>
      <c r="B370" s="5" t="s">
        <v>7092</v>
      </c>
      <c r="C370" s="5" t="s">
        <v>21</v>
      </c>
      <c r="D370" s="5" t="s">
        <v>21</v>
      </c>
      <c r="E370" s="5" t="s">
        <v>21</v>
      </c>
      <c r="F370" s="5" t="s">
        <v>7093</v>
      </c>
      <c r="G370" s="5" t="s">
        <v>21</v>
      </c>
      <c r="H370" s="5" t="s">
        <v>21</v>
      </c>
      <c r="I370" s="5" t="s">
        <v>7094</v>
      </c>
      <c r="J370" s="12" t="s">
        <v>414</v>
      </c>
      <c r="K370" s="5" t="s">
        <v>21</v>
      </c>
      <c r="L370" s="5" t="s">
        <v>21</v>
      </c>
      <c r="M370" s="5" t="s">
        <v>25</v>
      </c>
      <c r="N370" s="5" t="s">
        <v>26</v>
      </c>
      <c r="O370" s="5" t="s">
        <v>21</v>
      </c>
      <c r="P370" s="5" t="s">
        <v>21</v>
      </c>
      <c r="Q370" s="5" t="s">
        <v>21</v>
      </c>
      <c r="R370" s="5" t="s">
        <v>21</v>
      </c>
      <c r="S370" s="5" t="s">
        <v>21</v>
      </c>
      <c r="T370" s="5" t="s">
        <v>7095</v>
      </c>
      <c r="U370" s="5" t="s">
        <v>7096</v>
      </c>
      <c r="V370" s="5" t="s">
        <v>7097</v>
      </c>
      <c r="W370" s="5" t="s">
        <v>7098</v>
      </c>
      <c r="X370" s="5" t="s">
        <v>7099</v>
      </c>
      <c r="Y370" s="5" t="s">
        <v>7100</v>
      </c>
      <c r="Z370" s="5" t="s">
        <v>7101</v>
      </c>
      <c r="AA370" s="5" t="s">
        <v>21</v>
      </c>
      <c r="AB370" s="5" t="s">
        <v>7102</v>
      </c>
      <c r="AC370" s="5" t="s">
        <v>21</v>
      </c>
      <c r="AD370" s="5" t="s">
        <v>21</v>
      </c>
      <c r="AE370" s="5" t="s">
        <v>21</v>
      </c>
      <c r="AF370" s="5">
        <v>63</v>
      </c>
      <c r="AG370" s="5">
        <v>0</v>
      </c>
      <c r="AH370" s="5">
        <v>0</v>
      </c>
      <c r="AI370" s="5">
        <v>3</v>
      </c>
      <c r="AJ370" s="5">
        <v>3</v>
      </c>
      <c r="AK370" s="5" t="s">
        <v>424</v>
      </c>
      <c r="AL370" s="5" t="s">
        <v>425</v>
      </c>
      <c r="AM370" s="5" t="s">
        <v>426</v>
      </c>
      <c r="AN370" s="5" t="s">
        <v>427</v>
      </c>
      <c r="AO370" s="5" t="s">
        <v>428</v>
      </c>
      <c r="AP370" s="5" t="s">
        <v>21</v>
      </c>
      <c r="AQ370" s="5" t="s">
        <v>429</v>
      </c>
      <c r="AR370" s="5" t="s">
        <v>430</v>
      </c>
      <c r="AS370" s="5" t="s">
        <v>42</v>
      </c>
      <c r="AT370" s="5">
        <v>2025</v>
      </c>
      <c r="AU370" s="5">
        <v>119</v>
      </c>
      <c r="AV370" s="5" t="s">
        <v>21</v>
      </c>
      <c r="AW370" s="5" t="s">
        <v>21</v>
      </c>
      <c r="AX370" s="5" t="s">
        <v>21</v>
      </c>
      <c r="AY370" s="5" t="s">
        <v>21</v>
      </c>
      <c r="AZ370" s="5" t="s">
        <v>21</v>
      </c>
      <c r="BA370" s="5" t="s">
        <v>21</v>
      </c>
      <c r="BB370" s="5" t="s">
        <v>21</v>
      </c>
      <c r="BC370" s="5">
        <v>102521</v>
      </c>
      <c r="BD370" s="5" t="s">
        <v>7103</v>
      </c>
      <c r="BE370" s="5" t="str">
        <f>HYPERLINK("http://dx.doi.org/10.1016/j.rasd.2024.102521","http://dx.doi.org/10.1016/j.rasd.2024.102521")</f>
        <v>http://dx.doi.org/10.1016/j.rasd.2024.102521</v>
      </c>
      <c r="BF370" s="5" t="s">
        <v>21</v>
      </c>
      <c r="BG370" s="5" t="s">
        <v>6059</v>
      </c>
      <c r="BH370" s="5">
        <v>22</v>
      </c>
      <c r="BI370" s="5" t="s">
        <v>433</v>
      </c>
      <c r="BJ370" s="5" t="s">
        <v>45</v>
      </c>
      <c r="BK370" s="5" t="s">
        <v>434</v>
      </c>
      <c r="BL370" s="5" t="s">
        <v>7104</v>
      </c>
      <c r="BM370" s="5" t="s">
        <v>21</v>
      </c>
      <c r="BN370" s="5" t="s">
        <v>120</v>
      </c>
      <c r="BO370" s="5" t="s">
        <v>21</v>
      </c>
      <c r="BP370" s="5" t="s">
        <v>21</v>
      </c>
      <c r="BQ370" s="5" t="s">
        <v>49</v>
      </c>
      <c r="BR370" s="5" t="s">
        <v>7105</v>
      </c>
      <c r="BS370" s="5" t="str">
        <f>HYPERLINK("https%3A%2F%2Fwww.webofscience.com%2Fwos%2Fwoscc%2Ffull-record%2FWOS:001414828600001","View Full Record in Web of Science")</f>
        <v>View Full Record in Web of Science</v>
      </c>
    </row>
    <row r="371" spans="1:71" x14ac:dyDescent="0.25">
      <c r="A371" t="s">
        <v>19</v>
      </c>
      <c r="B371" s="5" t="s">
        <v>7106</v>
      </c>
      <c r="C371" s="5" t="s">
        <v>21</v>
      </c>
      <c r="D371" s="5" t="s">
        <v>21</v>
      </c>
      <c r="E371" s="5" t="s">
        <v>21</v>
      </c>
      <c r="F371" s="5" t="s">
        <v>7107</v>
      </c>
      <c r="G371" s="5" t="s">
        <v>21</v>
      </c>
      <c r="H371" s="5" t="s">
        <v>21</v>
      </c>
      <c r="I371" s="5" t="s">
        <v>7108</v>
      </c>
      <c r="J371" s="12" t="s">
        <v>24</v>
      </c>
      <c r="K371" s="5" t="s">
        <v>21</v>
      </c>
      <c r="L371" s="5" t="s">
        <v>21</v>
      </c>
      <c r="M371" s="5" t="s">
        <v>25</v>
      </c>
      <c r="N371" s="5" t="s">
        <v>2836</v>
      </c>
      <c r="O371" s="5" t="s">
        <v>21</v>
      </c>
      <c r="P371" s="5" t="s">
        <v>21</v>
      </c>
      <c r="Q371" s="5" t="s">
        <v>21</v>
      </c>
      <c r="R371" s="5" t="s">
        <v>21</v>
      </c>
      <c r="S371" s="5" t="s">
        <v>21</v>
      </c>
      <c r="T371" s="5" t="s">
        <v>7109</v>
      </c>
      <c r="U371" s="5" t="s">
        <v>7110</v>
      </c>
      <c r="V371" s="5" t="s">
        <v>7111</v>
      </c>
      <c r="W371" s="5" t="s">
        <v>7112</v>
      </c>
      <c r="X371" s="5" t="s">
        <v>7113</v>
      </c>
      <c r="Y371" s="5" t="s">
        <v>7114</v>
      </c>
      <c r="Z371" s="5" t="s">
        <v>7115</v>
      </c>
      <c r="AA371" s="5" t="s">
        <v>21</v>
      </c>
      <c r="AB371" s="5" t="s">
        <v>21</v>
      </c>
      <c r="AC371" s="5" t="s">
        <v>7116</v>
      </c>
      <c r="AD371" s="5" t="s">
        <v>7117</v>
      </c>
      <c r="AE371" s="5" t="s">
        <v>7118</v>
      </c>
      <c r="AF371" s="5">
        <v>28</v>
      </c>
      <c r="AG371" s="5">
        <v>0</v>
      </c>
      <c r="AH371" s="5">
        <v>0</v>
      </c>
      <c r="AI371" s="5">
        <v>7</v>
      </c>
      <c r="AJ371" s="5">
        <v>7</v>
      </c>
      <c r="AK371" s="5" t="s">
        <v>35</v>
      </c>
      <c r="AL371" s="5" t="s">
        <v>36</v>
      </c>
      <c r="AM371" s="5" t="s">
        <v>37</v>
      </c>
      <c r="AN371" s="5" t="s">
        <v>38</v>
      </c>
      <c r="AO371" s="5" t="s">
        <v>39</v>
      </c>
      <c r="AP371" s="5" t="s">
        <v>21</v>
      </c>
      <c r="AQ371" s="5" t="s">
        <v>40</v>
      </c>
      <c r="AR371" s="5" t="s">
        <v>41</v>
      </c>
      <c r="AS371" s="5" t="s">
        <v>7119</v>
      </c>
      <c r="AT371" s="5">
        <v>2024</v>
      </c>
      <c r="AU371" s="5" t="s">
        <v>21</v>
      </c>
      <c r="AV371" s="5" t="s">
        <v>21</v>
      </c>
      <c r="AW371" s="5" t="s">
        <v>21</v>
      </c>
      <c r="AX371" s="5" t="s">
        <v>21</v>
      </c>
      <c r="AY371" s="5" t="s">
        <v>21</v>
      </c>
      <c r="AZ371" s="5" t="s">
        <v>21</v>
      </c>
      <c r="BA371" s="5" t="s">
        <v>21</v>
      </c>
      <c r="BB371" s="5" t="s">
        <v>21</v>
      </c>
      <c r="BC371" s="5" t="s">
        <v>21</v>
      </c>
      <c r="BD371" s="5" t="s">
        <v>7120</v>
      </c>
      <c r="BE371" s="5" t="str">
        <f>HYPERLINK("http://dx.doi.org/10.1007/s10803-024-06571-4","http://dx.doi.org/10.1007/s10803-024-06571-4")</f>
        <v>http://dx.doi.org/10.1007/s10803-024-06571-4</v>
      </c>
      <c r="BF371" s="5" t="s">
        <v>21</v>
      </c>
      <c r="BG371" s="5" t="s">
        <v>6109</v>
      </c>
      <c r="BH371" s="5">
        <v>14</v>
      </c>
      <c r="BI371" s="5" t="s">
        <v>44</v>
      </c>
      <c r="BJ371" s="5" t="s">
        <v>45</v>
      </c>
      <c r="BK371" s="5" t="s">
        <v>46</v>
      </c>
      <c r="BL371" s="5" t="s">
        <v>7121</v>
      </c>
      <c r="BM371" s="5">
        <v>39443398</v>
      </c>
      <c r="BN371" s="5" t="s">
        <v>21</v>
      </c>
      <c r="BO371" s="5" t="s">
        <v>21</v>
      </c>
      <c r="BP371" s="5" t="s">
        <v>21</v>
      </c>
      <c r="BQ371" s="5" t="s">
        <v>49</v>
      </c>
      <c r="BR371" s="5" t="s">
        <v>7122</v>
      </c>
      <c r="BS371" s="5" t="str">
        <f>HYPERLINK("https%3A%2F%2Fwww.webofscience.com%2Fwos%2Fwoscc%2Ffull-record%2FWOS:001339245900001","View Full Record in Web of Science")</f>
        <v>View Full Record in Web of Science</v>
      </c>
    </row>
    <row r="372" spans="1:71" x14ac:dyDescent="0.25">
      <c r="A372" t="s">
        <v>19</v>
      </c>
      <c r="B372" s="5" t="s">
        <v>7123</v>
      </c>
      <c r="C372" s="5" t="s">
        <v>21</v>
      </c>
      <c r="D372" s="5" t="s">
        <v>21</v>
      </c>
      <c r="E372" s="5" t="s">
        <v>21</v>
      </c>
      <c r="F372" s="5" t="s">
        <v>7124</v>
      </c>
      <c r="G372" s="5" t="s">
        <v>21</v>
      </c>
      <c r="H372" s="5" t="s">
        <v>21</v>
      </c>
      <c r="I372" s="5" t="s">
        <v>7125</v>
      </c>
      <c r="J372" s="12" t="s">
        <v>7126</v>
      </c>
      <c r="K372" s="5" t="s">
        <v>21</v>
      </c>
      <c r="L372" s="5" t="s">
        <v>21</v>
      </c>
      <c r="M372" s="5" t="s">
        <v>25</v>
      </c>
      <c r="N372" s="5" t="s">
        <v>26</v>
      </c>
      <c r="O372" s="5" t="s">
        <v>21</v>
      </c>
      <c r="P372" s="5" t="s">
        <v>21</v>
      </c>
      <c r="Q372" s="5" t="s">
        <v>21</v>
      </c>
      <c r="R372" s="5" t="s">
        <v>21</v>
      </c>
      <c r="S372" s="5" t="s">
        <v>21</v>
      </c>
      <c r="T372" s="5" t="s">
        <v>21</v>
      </c>
      <c r="U372" s="5" t="s">
        <v>21</v>
      </c>
      <c r="V372" s="5" t="s">
        <v>21</v>
      </c>
      <c r="W372" s="5" t="s">
        <v>7127</v>
      </c>
      <c r="X372" s="5" t="s">
        <v>21</v>
      </c>
      <c r="Y372" s="5" t="s">
        <v>7128</v>
      </c>
      <c r="Z372" s="5" t="s">
        <v>21</v>
      </c>
      <c r="AA372" s="5" t="s">
        <v>21</v>
      </c>
      <c r="AB372" s="5" t="s">
        <v>7129</v>
      </c>
      <c r="AC372" s="5" t="s">
        <v>21</v>
      </c>
      <c r="AD372" s="5" t="s">
        <v>21</v>
      </c>
      <c r="AE372" s="5" t="s">
        <v>21</v>
      </c>
      <c r="AF372" s="5">
        <v>3</v>
      </c>
      <c r="AG372" s="5">
        <v>0</v>
      </c>
      <c r="AH372" s="5">
        <v>0</v>
      </c>
      <c r="AI372" s="5">
        <v>9</v>
      </c>
      <c r="AJ372" s="5">
        <v>10</v>
      </c>
      <c r="AK372" s="5" t="s">
        <v>493</v>
      </c>
      <c r="AL372" s="5" t="s">
        <v>494</v>
      </c>
      <c r="AM372" s="5" t="s">
        <v>495</v>
      </c>
      <c r="AN372" s="5" t="s">
        <v>7130</v>
      </c>
      <c r="AO372" s="5" t="s">
        <v>7131</v>
      </c>
      <c r="AP372" s="5" t="s">
        <v>21</v>
      </c>
      <c r="AQ372" s="5" t="s">
        <v>7132</v>
      </c>
      <c r="AR372" s="5" t="s">
        <v>7133</v>
      </c>
      <c r="AS372" s="5" t="s">
        <v>5538</v>
      </c>
      <c r="AT372" s="5">
        <v>2024</v>
      </c>
      <c r="AU372" s="5">
        <v>95</v>
      </c>
      <c r="AV372" s="5">
        <v>8</v>
      </c>
      <c r="AW372" s="5" t="s">
        <v>21</v>
      </c>
      <c r="AX372" s="5" t="s">
        <v>21</v>
      </c>
      <c r="AY372" s="5" t="s">
        <v>21</v>
      </c>
      <c r="AZ372" s="5" t="s">
        <v>21</v>
      </c>
      <c r="BA372" s="5">
        <v>55</v>
      </c>
      <c r="BB372" s="5">
        <v>56</v>
      </c>
      <c r="BC372" s="5" t="s">
        <v>21</v>
      </c>
      <c r="BD372" s="5" t="s">
        <v>7134</v>
      </c>
      <c r="BE372" s="5" t="str">
        <f>HYPERLINK("http://dx.doi.org/10.1080/07303084.2024.2383530","http://dx.doi.org/10.1080/07303084.2024.2383530")</f>
        <v>http://dx.doi.org/10.1080/07303084.2024.2383530</v>
      </c>
      <c r="BF372" s="5" t="s">
        <v>21</v>
      </c>
      <c r="BG372" s="5" t="s">
        <v>21</v>
      </c>
      <c r="BH372" s="5">
        <v>2</v>
      </c>
      <c r="BI372" s="5" t="s">
        <v>503</v>
      </c>
      <c r="BJ372" s="5" t="s">
        <v>1907</v>
      </c>
      <c r="BK372" s="5" t="s">
        <v>503</v>
      </c>
      <c r="BL372" s="5" t="s">
        <v>7135</v>
      </c>
      <c r="BM372" s="5" t="s">
        <v>21</v>
      </c>
      <c r="BN372" s="5" t="s">
        <v>21</v>
      </c>
      <c r="BO372" s="5" t="s">
        <v>21</v>
      </c>
      <c r="BP372" s="5" t="s">
        <v>21</v>
      </c>
      <c r="BQ372" s="5" t="s">
        <v>49</v>
      </c>
      <c r="BR372" s="5" t="s">
        <v>7136</v>
      </c>
      <c r="BS372" s="5" t="str">
        <f>HYPERLINK("https%3A%2F%2Fwww.webofscience.com%2Fwos%2Fwoscc%2Ffull-record%2FWOS:001332889800007","View Full Record in Web of Science")</f>
        <v>View Full Record in Web of Science</v>
      </c>
    </row>
    <row r="373" spans="1:71" x14ac:dyDescent="0.25">
      <c r="A373" t="s">
        <v>19</v>
      </c>
      <c r="B373" s="5" t="s">
        <v>7137</v>
      </c>
      <c r="C373" s="5" t="s">
        <v>21</v>
      </c>
      <c r="D373" s="5" t="s">
        <v>21</v>
      </c>
      <c r="E373" s="5" t="s">
        <v>21</v>
      </c>
      <c r="F373" s="5" t="s">
        <v>7138</v>
      </c>
      <c r="G373" s="5" t="s">
        <v>21</v>
      </c>
      <c r="H373" s="5" t="s">
        <v>21</v>
      </c>
      <c r="I373" s="5" t="s">
        <v>7139</v>
      </c>
      <c r="J373" s="12" t="s">
        <v>894</v>
      </c>
      <c r="K373" s="5" t="s">
        <v>21</v>
      </c>
      <c r="L373" s="5" t="s">
        <v>21</v>
      </c>
      <c r="M373" s="5" t="s">
        <v>25</v>
      </c>
      <c r="N373" s="5" t="s">
        <v>2836</v>
      </c>
      <c r="O373" s="5" t="s">
        <v>21</v>
      </c>
      <c r="P373" s="5" t="s">
        <v>21</v>
      </c>
      <c r="Q373" s="5" t="s">
        <v>21</v>
      </c>
      <c r="R373" s="5" t="s">
        <v>21</v>
      </c>
      <c r="S373" s="5" t="s">
        <v>21</v>
      </c>
      <c r="T373" s="5" t="s">
        <v>7140</v>
      </c>
      <c r="U373" s="5" t="s">
        <v>7141</v>
      </c>
      <c r="V373" s="5" t="s">
        <v>7142</v>
      </c>
      <c r="W373" s="5" t="s">
        <v>7143</v>
      </c>
      <c r="X373" s="5" t="s">
        <v>7144</v>
      </c>
      <c r="Y373" s="5" t="s">
        <v>7145</v>
      </c>
      <c r="Z373" s="5" t="s">
        <v>7146</v>
      </c>
      <c r="AA373" s="5" t="s">
        <v>7147</v>
      </c>
      <c r="AB373" s="5" t="s">
        <v>21</v>
      </c>
      <c r="AC373" s="5" t="s">
        <v>7148</v>
      </c>
      <c r="AD373" s="5" t="s">
        <v>7149</v>
      </c>
      <c r="AE373" s="5" t="s">
        <v>7150</v>
      </c>
      <c r="AF373" s="5">
        <v>69</v>
      </c>
      <c r="AG373" s="5">
        <v>0</v>
      </c>
      <c r="AH373" s="5">
        <v>0</v>
      </c>
      <c r="AI373" s="5">
        <v>21</v>
      </c>
      <c r="AJ373" s="5">
        <v>23</v>
      </c>
      <c r="AK373" s="5" t="s">
        <v>904</v>
      </c>
      <c r="AL373" s="5" t="s">
        <v>36</v>
      </c>
      <c r="AM373" s="5" t="s">
        <v>905</v>
      </c>
      <c r="AN373" s="5" t="s">
        <v>906</v>
      </c>
      <c r="AO373" s="5" t="s">
        <v>907</v>
      </c>
      <c r="AP373" s="5" t="s">
        <v>21</v>
      </c>
      <c r="AQ373" s="5" t="s">
        <v>908</v>
      </c>
      <c r="AR373" s="5" t="s">
        <v>909</v>
      </c>
      <c r="AS373" s="5" t="s">
        <v>7151</v>
      </c>
      <c r="AT373" s="5">
        <v>2024</v>
      </c>
      <c r="AU373" s="5" t="s">
        <v>21</v>
      </c>
      <c r="AV373" s="5" t="s">
        <v>21</v>
      </c>
      <c r="AW373" s="5" t="s">
        <v>21</v>
      </c>
      <c r="AX373" s="5" t="s">
        <v>21</v>
      </c>
      <c r="AY373" s="5" t="s">
        <v>21</v>
      </c>
      <c r="AZ373" s="5" t="s">
        <v>21</v>
      </c>
      <c r="BA373" s="5" t="s">
        <v>21</v>
      </c>
      <c r="BB373" s="5" t="s">
        <v>21</v>
      </c>
      <c r="BC373" s="5" t="s">
        <v>21</v>
      </c>
      <c r="BD373" s="5" t="s">
        <v>7152</v>
      </c>
      <c r="BE373" s="5" t="str">
        <f>HYPERLINK("http://dx.doi.org/10.1007/s10639-024-13096-x","http://dx.doi.org/10.1007/s10639-024-13096-x")</f>
        <v>http://dx.doi.org/10.1007/s10639-024-13096-x</v>
      </c>
      <c r="BF373" s="5" t="s">
        <v>21</v>
      </c>
      <c r="BG373" s="5" t="s">
        <v>6109</v>
      </c>
      <c r="BH373" s="5">
        <v>20</v>
      </c>
      <c r="BI373" s="5" t="s">
        <v>503</v>
      </c>
      <c r="BJ373" s="5" t="s">
        <v>45</v>
      </c>
      <c r="BK373" s="5" t="s">
        <v>503</v>
      </c>
      <c r="BL373" s="5" t="s">
        <v>7153</v>
      </c>
      <c r="BM373" s="5" t="s">
        <v>21</v>
      </c>
      <c r="BN373" s="5" t="s">
        <v>21</v>
      </c>
      <c r="BO373" s="5" t="s">
        <v>21</v>
      </c>
      <c r="BP373" s="5" t="s">
        <v>21</v>
      </c>
      <c r="BQ373" s="5" t="s">
        <v>49</v>
      </c>
      <c r="BR373" s="5" t="s">
        <v>7154</v>
      </c>
      <c r="BS373" s="5" t="str">
        <f>HYPERLINK("https%3A%2F%2Fwww.webofscience.com%2Fwos%2Fwoscc%2Ffull-record%2FWOS:001330208700003","View Full Record in Web of Science")</f>
        <v>View Full Record in Web of Science</v>
      </c>
    </row>
    <row r="374" spans="1:71" x14ac:dyDescent="0.25">
      <c r="A374" t="s">
        <v>19</v>
      </c>
      <c r="B374" s="5" t="s">
        <v>7155</v>
      </c>
      <c r="C374" s="5" t="s">
        <v>21</v>
      </c>
      <c r="D374" s="5" t="s">
        <v>21</v>
      </c>
      <c r="E374" s="5" t="s">
        <v>21</v>
      </c>
      <c r="F374" s="5" t="s">
        <v>7156</v>
      </c>
      <c r="G374" s="5" t="s">
        <v>21</v>
      </c>
      <c r="H374" s="5" t="s">
        <v>21</v>
      </c>
      <c r="I374" s="5" t="s">
        <v>7157</v>
      </c>
      <c r="J374" s="12" t="s">
        <v>1241</v>
      </c>
      <c r="K374" s="5" t="s">
        <v>21</v>
      </c>
      <c r="L374" s="5" t="s">
        <v>21</v>
      </c>
      <c r="M374" s="5" t="s">
        <v>25</v>
      </c>
      <c r="N374" s="5" t="s">
        <v>26</v>
      </c>
      <c r="O374" s="5" t="s">
        <v>21</v>
      </c>
      <c r="P374" s="5" t="s">
        <v>21</v>
      </c>
      <c r="Q374" s="5" t="s">
        <v>21</v>
      </c>
      <c r="R374" s="5" t="s">
        <v>21</v>
      </c>
      <c r="S374" s="5" t="s">
        <v>21</v>
      </c>
      <c r="T374" s="5" t="s">
        <v>7158</v>
      </c>
      <c r="U374" s="5" t="s">
        <v>7159</v>
      </c>
      <c r="V374" s="5" t="s">
        <v>7160</v>
      </c>
      <c r="W374" s="5" t="s">
        <v>7161</v>
      </c>
      <c r="X374" s="5" t="s">
        <v>7162</v>
      </c>
      <c r="Y374" s="5" t="s">
        <v>7163</v>
      </c>
      <c r="Z374" s="5" t="s">
        <v>7164</v>
      </c>
      <c r="AA374" s="5" t="s">
        <v>7165</v>
      </c>
      <c r="AB374" s="5" t="s">
        <v>7166</v>
      </c>
      <c r="AC374" s="5" t="s">
        <v>21</v>
      </c>
      <c r="AD374" s="5" t="s">
        <v>21</v>
      </c>
      <c r="AE374" s="5" t="s">
        <v>21</v>
      </c>
      <c r="AF374" s="5">
        <v>89</v>
      </c>
      <c r="AG374" s="5">
        <v>0</v>
      </c>
      <c r="AH374" s="5">
        <v>0</v>
      </c>
      <c r="AI374" s="5">
        <v>19</v>
      </c>
      <c r="AJ374" s="5">
        <v>19</v>
      </c>
      <c r="AK374" s="5" t="s">
        <v>7167</v>
      </c>
      <c r="AL374" s="5" t="s">
        <v>7168</v>
      </c>
      <c r="AM374" s="5" t="s">
        <v>7169</v>
      </c>
      <c r="AN374" s="5" t="s">
        <v>1256</v>
      </c>
      <c r="AO374" s="5" t="s">
        <v>1257</v>
      </c>
      <c r="AP374" s="5" t="s">
        <v>21</v>
      </c>
      <c r="AQ374" s="5" t="s">
        <v>1258</v>
      </c>
      <c r="AR374" s="5" t="s">
        <v>1259</v>
      </c>
      <c r="AS374" s="5" t="s">
        <v>134</v>
      </c>
      <c r="AT374" s="5">
        <v>2024</v>
      </c>
      <c r="AU374" s="5">
        <v>27</v>
      </c>
      <c r="AV374" s="5">
        <v>4</v>
      </c>
      <c r="AW374" s="5" t="s">
        <v>21</v>
      </c>
      <c r="AX374" s="5" t="s">
        <v>21</v>
      </c>
      <c r="AY374" s="5" t="s">
        <v>21</v>
      </c>
      <c r="AZ374" s="5" t="s">
        <v>21</v>
      </c>
      <c r="BA374" s="5">
        <v>283</v>
      </c>
      <c r="BB374" s="5">
        <v>301</v>
      </c>
      <c r="BC374" s="5" t="s">
        <v>21</v>
      </c>
      <c r="BD374" s="5" t="s">
        <v>7170</v>
      </c>
      <c r="BE374" s="5" t="str">
        <f>HYPERLINK("http://dx.doi.org/10.30191/ETS.202410_27(4).SP05","http://dx.doi.org/10.30191/ETS.202410_27(4).SP05")</f>
        <v>http://dx.doi.org/10.30191/ETS.202410_27(4).SP05</v>
      </c>
      <c r="BF374" s="5" t="s">
        <v>21</v>
      </c>
      <c r="BG374" s="5" t="s">
        <v>21</v>
      </c>
      <c r="BH374" s="5">
        <v>19</v>
      </c>
      <c r="BI374" s="5" t="s">
        <v>503</v>
      </c>
      <c r="BJ374" s="5" t="s">
        <v>45</v>
      </c>
      <c r="BK374" s="5" t="s">
        <v>503</v>
      </c>
      <c r="BL374" s="5" t="s">
        <v>7171</v>
      </c>
      <c r="BM374" s="5" t="s">
        <v>21</v>
      </c>
      <c r="BN374" s="5" t="s">
        <v>21</v>
      </c>
      <c r="BO374" s="5" t="s">
        <v>21</v>
      </c>
      <c r="BP374" s="5" t="s">
        <v>21</v>
      </c>
      <c r="BQ374" s="5" t="s">
        <v>49</v>
      </c>
      <c r="BR374" s="5" t="s">
        <v>7172</v>
      </c>
      <c r="BS374" s="5" t="str">
        <f>HYPERLINK("https%3A%2F%2Fwww.webofscience.com%2Fwos%2Fwoscc%2Ffull-record%2FWOS:001334795100017","View Full Record in Web of Science")</f>
        <v>View Full Record in Web of Science</v>
      </c>
    </row>
    <row r="375" spans="1:71" x14ac:dyDescent="0.25">
      <c r="A375" t="s">
        <v>19</v>
      </c>
      <c r="B375" s="5" t="s">
        <v>7173</v>
      </c>
      <c r="C375" s="5" t="s">
        <v>21</v>
      </c>
      <c r="D375" s="5" t="s">
        <v>21</v>
      </c>
      <c r="E375" s="5" t="s">
        <v>21</v>
      </c>
      <c r="F375" s="5" t="s">
        <v>7174</v>
      </c>
      <c r="G375" s="5" t="s">
        <v>21</v>
      </c>
      <c r="H375" s="5" t="s">
        <v>21</v>
      </c>
      <c r="I375" s="5" t="s">
        <v>7175</v>
      </c>
      <c r="J375" s="12" t="s">
        <v>7176</v>
      </c>
      <c r="K375" s="5" t="s">
        <v>21</v>
      </c>
      <c r="L375" s="5" t="s">
        <v>21</v>
      </c>
      <c r="M375" s="5" t="s">
        <v>25</v>
      </c>
      <c r="N375" s="5" t="s">
        <v>26</v>
      </c>
      <c r="O375" s="5" t="s">
        <v>21</v>
      </c>
      <c r="P375" s="5" t="s">
        <v>21</v>
      </c>
      <c r="Q375" s="5" t="s">
        <v>21</v>
      </c>
      <c r="R375" s="5" t="s">
        <v>21</v>
      </c>
      <c r="S375" s="5" t="s">
        <v>21</v>
      </c>
      <c r="T375" s="5" t="s">
        <v>7177</v>
      </c>
      <c r="U375" s="5" t="s">
        <v>7178</v>
      </c>
      <c r="V375" s="5" t="s">
        <v>7179</v>
      </c>
      <c r="W375" s="5" t="s">
        <v>7180</v>
      </c>
      <c r="X375" s="5" t="s">
        <v>7181</v>
      </c>
      <c r="Y375" s="5" t="s">
        <v>7182</v>
      </c>
      <c r="Z375" s="5" t="s">
        <v>7183</v>
      </c>
      <c r="AA375" s="5" t="s">
        <v>7184</v>
      </c>
      <c r="AB375" s="5" t="s">
        <v>7185</v>
      </c>
      <c r="AC375" s="5" t="s">
        <v>21</v>
      </c>
      <c r="AD375" s="5" t="s">
        <v>21</v>
      </c>
      <c r="AE375" s="5" t="s">
        <v>21</v>
      </c>
      <c r="AF375" s="5">
        <v>218</v>
      </c>
      <c r="AG375" s="5">
        <v>0</v>
      </c>
      <c r="AH375" s="5">
        <v>0</v>
      </c>
      <c r="AI375" s="5">
        <v>21</v>
      </c>
      <c r="AJ375" s="5">
        <v>26</v>
      </c>
      <c r="AK375" s="5" t="s">
        <v>1292</v>
      </c>
      <c r="AL375" s="5" t="s">
        <v>252</v>
      </c>
      <c r="AM375" s="5" t="s">
        <v>1293</v>
      </c>
      <c r="AN375" s="5" t="s">
        <v>7186</v>
      </c>
      <c r="AO375" s="5" t="s">
        <v>21</v>
      </c>
      <c r="AP375" s="5" t="s">
        <v>21</v>
      </c>
      <c r="AQ375" s="5" t="s">
        <v>7187</v>
      </c>
      <c r="AR375" s="5" t="s">
        <v>7188</v>
      </c>
      <c r="AS375" s="5" t="s">
        <v>782</v>
      </c>
      <c r="AT375" s="5">
        <v>2025</v>
      </c>
      <c r="AU375" s="5">
        <v>25</v>
      </c>
      <c r="AV375" s="5">
        <v>2</v>
      </c>
      <c r="AW375" s="5" t="s">
        <v>21</v>
      </c>
      <c r="AX375" s="5" t="s">
        <v>21</v>
      </c>
      <c r="AY375" s="5" t="s">
        <v>21</v>
      </c>
      <c r="AZ375" s="5" t="s">
        <v>21</v>
      </c>
      <c r="BA375" s="5">
        <v>237</v>
      </c>
      <c r="BB375" s="5">
        <v>261</v>
      </c>
      <c r="BC375" s="5" t="s">
        <v>21</v>
      </c>
      <c r="BD375" s="5" t="s">
        <v>7189</v>
      </c>
      <c r="BE375" s="5" t="str">
        <f>HYPERLINK("http://dx.doi.org/10.1111/1471-3802.12723","http://dx.doi.org/10.1111/1471-3802.12723")</f>
        <v>http://dx.doi.org/10.1111/1471-3802.12723</v>
      </c>
      <c r="BF375" s="5" t="s">
        <v>21</v>
      </c>
      <c r="BG375" s="5" t="s">
        <v>4257</v>
      </c>
      <c r="BH375" s="5">
        <v>25</v>
      </c>
      <c r="BI375" s="5" t="s">
        <v>1480</v>
      </c>
      <c r="BJ375" s="5" t="s">
        <v>1907</v>
      </c>
      <c r="BK375" s="5" t="s">
        <v>503</v>
      </c>
      <c r="BL375" s="5" t="s">
        <v>7190</v>
      </c>
      <c r="BM375" s="5" t="s">
        <v>21</v>
      </c>
      <c r="BN375" s="5" t="s">
        <v>120</v>
      </c>
      <c r="BO375" s="5" t="s">
        <v>21</v>
      </c>
      <c r="BP375" s="5" t="s">
        <v>21</v>
      </c>
      <c r="BQ375" s="5" t="s">
        <v>49</v>
      </c>
      <c r="BR375" s="5" t="s">
        <v>7191</v>
      </c>
      <c r="BS375" s="5" t="str">
        <f>HYPERLINK("https%3A%2F%2Fwww.webofscience.com%2Fwos%2Fwoscc%2Ffull-record%2FWOS:001314049600001","View Full Record in Web of Science")</f>
        <v>View Full Record in Web of Science</v>
      </c>
    </row>
    <row r="376" spans="1:71" x14ac:dyDescent="0.25">
      <c r="A376" t="s">
        <v>19</v>
      </c>
      <c r="B376" s="5" t="s">
        <v>7192</v>
      </c>
      <c r="C376" s="5" t="s">
        <v>21</v>
      </c>
      <c r="D376" s="5" t="s">
        <v>21</v>
      </c>
      <c r="E376" s="5" t="s">
        <v>21</v>
      </c>
      <c r="F376" s="5" t="s">
        <v>7193</v>
      </c>
      <c r="G376" s="5" t="s">
        <v>21</v>
      </c>
      <c r="H376" s="5" t="s">
        <v>21</v>
      </c>
      <c r="I376" s="5" t="s">
        <v>7194</v>
      </c>
      <c r="J376" s="12" t="s">
        <v>7195</v>
      </c>
      <c r="K376" s="5" t="s">
        <v>21</v>
      </c>
      <c r="L376" s="5" t="s">
        <v>21</v>
      </c>
      <c r="M376" s="5" t="s">
        <v>25</v>
      </c>
      <c r="N376" s="5" t="s">
        <v>76</v>
      </c>
      <c r="O376" s="5" t="s">
        <v>21</v>
      </c>
      <c r="P376" s="5" t="s">
        <v>21</v>
      </c>
      <c r="Q376" s="5" t="s">
        <v>21</v>
      </c>
      <c r="R376" s="5" t="s">
        <v>21</v>
      </c>
      <c r="S376" s="5" t="s">
        <v>21</v>
      </c>
      <c r="T376" s="5" t="s">
        <v>7196</v>
      </c>
      <c r="U376" s="5" t="s">
        <v>7197</v>
      </c>
      <c r="V376" s="5" t="s">
        <v>7198</v>
      </c>
      <c r="W376" s="5" t="s">
        <v>7199</v>
      </c>
      <c r="X376" s="5" t="s">
        <v>7200</v>
      </c>
      <c r="Y376" s="5" t="s">
        <v>7201</v>
      </c>
      <c r="Z376" s="5" t="s">
        <v>7202</v>
      </c>
      <c r="AA376" s="5" t="s">
        <v>7203</v>
      </c>
      <c r="AB376" s="5" t="s">
        <v>7204</v>
      </c>
      <c r="AC376" s="5" t="s">
        <v>7205</v>
      </c>
      <c r="AD376" s="5" t="s">
        <v>7206</v>
      </c>
      <c r="AE376" s="5" t="s">
        <v>7207</v>
      </c>
      <c r="AF376" s="5">
        <v>61</v>
      </c>
      <c r="AG376" s="5">
        <v>0</v>
      </c>
      <c r="AH376" s="5">
        <v>0</v>
      </c>
      <c r="AI376" s="5">
        <v>3</v>
      </c>
      <c r="AJ376" s="5">
        <v>6</v>
      </c>
      <c r="AK376" s="5" t="s">
        <v>4378</v>
      </c>
      <c r="AL376" s="5" t="s">
        <v>36</v>
      </c>
      <c r="AM376" s="5" t="s">
        <v>7208</v>
      </c>
      <c r="AN376" s="5" t="s">
        <v>7209</v>
      </c>
      <c r="AO376" s="5" t="s">
        <v>7210</v>
      </c>
      <c r="AP376" s="5" t="s">
        <v>21</v>
      </c>
      <c r="AQ376" s="5" t="s">
        <v>7211</v>
      </c>
      <c r="AR376" s="5" t="s">
        <v>7212</v>
      </c>
      <c r="AS376" s="5" t="s">
        <v>7213</v>
      </c>
      <c r="AT376" s="5">
        <v>2024</v>
      </c>
      <c r="AU376" s="5">
        <v>38</v>
      </c>
      <c r="AV376" s="5">
        <v>5</v>
      </c>
      <c r="AW376" s="5" t="s">
        <v>21</v>
      </c>
      <c r="AX376" s="5" t="s">
        <v>21</v>
      </c>
      <c r="AY376" s="5" t="s">
        <v>21</v>
      </c>
      <c r="AZ376" s="5" t="s">
        <v>21</v>
      </c>
      <c r="BA376" s="5">
        <v>703</v>
      </c>
      <c r="BB376" s="5">
        <v>716</v>
      </c>
      <c r="BC376" s="5" t="s">
        <v>21</v>
      </c>
      <c r="BD376" s="5" t="s">
        <v>7214</v>
      </c>
      <c r="BE376" s="5" t="str">
        <f>HYPERLINK("http://dx.doi.org/10.1016/j.pedhc.2024.01.008","http://dx.doi.org/10.1016/j.pedhc.2024.01.008")</f>
        <v>http://dx.doi.org/10.1016/j.pedhc.2024.01.008</v>
      </c>
      <c r="BF376" s="5" t="s">
        <v>21</v>
      </c>
      <c r="BG376" s="5" t="s">
        <v>4257</v>
      </c>
      <c r="BH376" s="5">
        <v>14</v>
      </c>
      <c r="BI376" s="5" t="s">
        <v>7215</v>
      </c>
      <c r="BJ376" s="5" t="s">
        <v>92</v>
      </c>
      <c r="BK376" s="5" t="s">
        <v>7216</v>
      </c>
      <c r="BL376" s="5" t="s">
        <v>7217</v>
      </c>
      <c r="BM376" s="5">
        <v>38466243</v>
      </c>
      <c r="BN376" s="5" t="s">
        <v>120</v>
      </c>
      <c r="BO376" s="5" t="s">
        <v>21</v>
      </c>
      <c r="BP376" s="5" t="s">
        <v>21</v>
      </c>
      <c r="BQ376" s="5" t="s">
        <v>49</v>
      </c>
      <c r="BR376" s="5" t="s">
        <v>7218</v>
      </c>
      <c r="BS376" s="5" t="str">
        <f>HYPERLINK("https%3A%2F%2Fwww.webofscience.com%2Fwos%2Fwoscc%2Ffull-record%2FWOS:001313738700001","View Full Record in Web of Science")</f>
        <v>View Full Record in Web of Science</v>
      </c>
    </row>
    <row r="377" spans="1:71" x14ac:dyDescent="0.25">
      <c r="A377" t="s">
        <v>19</v>
      </c>
      <c r="B377" s="5" t="s">
        <v>7219</v>
      </c>
      <c r="C377" s="5" t="s">
        <v>21</v>
      </c>
      <c r="D377" s="5" t="s">
        <v>21</v>
      </c>
      <c r="E377" s="5" t="s">
        <v>21</v>
      </c>
      <c r="F377" s="5" t="s">
        <v>7220</v>
      </c>
      <c r="G377" s="5" t="s">
        <v>21</v>
      </c>
      <c r="H377" s="5" t="s">
        <v>21</v>
      </c>
      <c r="I377" s="5" t="s">
        <v>7221</v>
      </c>
      <c r="J377" s="12" t="s">
        <v>869</v>
      </c>
      <c r="K377" s="5" t="s">
        <v>21</v>
      </c>
      <c r="L377" s="5" t="s">
        <v>21</v>
      </c>
      <c r="M377" s="5" t="s">
        <v>25</v>
      </c>
      <c r="N377" s="5" t="s">
        <v>2836</v>
      </c>
      <c r="O377" s="5" t="s">
        <v>21</v>
      </c>
      <c r="P377" s="5" t="s">
        <v>21</v>
      </c>
      <c r="Q377" s="5" t="s">
        <v>21</v>
      </c>
      <c r="R377" s="5" t="s">
        <v>21</v>
      </c>
      <c r="S377" s="5" t="s">
        <v>21</v>
      </c>
      <c r="T377" s="5" t="s">
        <v>7222</v>
      </c>
      <c r="U377" s="5" t="s">
        <v>7223</v>
      </c>
      <c r="V377" s="5" t="s">
        <v>7224</v>
      </c>
      <c r="W377" s="5" t="s">
        <v>7225</v>
      </c>
      <c r="X377" s="5" t="s">
        <v>7226</v>
      </c>
      <c r="Y377" s="5" t="s">
        <v>7227</v>
      </c>
      <c r="Z377" s="5" t="s">
        <v>7228</v>
      </c>
      <c r="AA377" s="5" t="s">
        <v>7229</v>
      </c>
      <c r="AB377" s="5" t="s">
        <v>7230</v>
      </c>
      <c r="AC377" s="5" t="s">
        <v>21</v>
      </c>
      <c r="AD377" s="5" t="s">
        <v>21</v>
      </c>
      <c r="AE377" s="5" t="s">
        <v>21</v>
      </c>
      <c r="AF377" s="5">
        <v>53</v>
      </c>
      <c r="AG377" s="5">
        <v>0</v>
      </c>
      <c r="AH377" s="5">
        <v>0</v>
      </c>
      <c r="AI377" s="5">
        <v>9</v>
      </c>
      <c r="AJ377" s="5">
        <v>15</v>
      </c>
      <c r="AK377" s="5" t="s">
        <v>733</v>
      </c>
      <c r="AL377" s="5" t="s">
        <v>734</v>
      </c>
      <c r="AM377" s="5" t="s">
        <v>735</v>
      </c>
      <c r="AN377" s="5" t="s">
        <v>881</v>
      </c>
      <c r="AO377" s="5" t="s">
        <v>882</v>
      </c>
      <c r="AP377" s="5" t="s">
        <v>21</v>
      </c>
      <c r="AQ377" s="5" t="s">
        <v>883</v>
      </c>
      <c r="AR377" s="5" t="s">
        <v>884</v>
      </c>
      <c r="AS377" s="5" t="s">
        <v>7231</v>
      </c>
      <c r="AT377" s="5">
        <v>2024</v>
      </c>
      <c r="AU377" s="5" t="s">
        <v>21</v>
      </c>
      <c r="AV377" s="5" t="s">
        <v>21</v>
      </c>
      <c r="AW377" s="5" t="s">
        <v>21</v>
      </c>
      <c r="AX377" s="5" t="s">
        <v>21</v>
      </c>
      <c r="AY377" s="5" t="s">
        <v>21</v>
      </c>
      <c r="AZ377" s="5" t="s">
        <v>21</v>
      </c>
      <c r="BA377" s="5" t="s">
        <v>21</v>
      </c>
      <c r="BB377" s="5" t="s">
        <v>21</v>
      </c>
      <c r="BC377" s="5" t="s">
        <v>21</v>
      </c>
      <c r="BD377" s="5" t="s">
        <v>7232</v>
      </c>
      <c r="BE377" s="5" t="str">
        <f>HYPERLINK("http://dx.doi.org/10.1177/01626434241277191","http://dx.doi.org/10.1177/01626434241277191")</f>
        <v>http://dx.doi.org/10.1177/01626434241277191</v>
      </c>
      <c r="BF377" s="5" t="s">
        <v>21</v>
      </c>
      <c r="BG377" s="5" t="s">
        <v>5285</v>
      </c>
      <c r="BH377" s="5">
        <v>16</v>
      </c>
      <c r="BI377" s="5" t="s">
        <v>887</v>
      </c>
      <c r="BJ377" s="5" t="s">
        <v>45</v>
      </c>
      <c r="BK377" s="5" t="s">
        <v>888</v>
      </c>
      <c r="BL377" s="5" t="s">
        <v>7233</v>
      </c>
      <c r="BM377" s="5" t="s">
        <v>21</v>
      </c>
      <c r="BN377" s="5" t="s">
        <v>21</v>
      </c>
      <c r="BO377" s="5" t="s">
        <v>21</v>
      </c>
      <c r="BP377" s="5" t="s">
        <v>21</v>
      </c>
      <c r="BQ377" s="5" t="s">
        <v>49</v>
      </c>
      <c r="BR377" s="5" t="s">
        <v>7234</v>
      </c>
      <c r="BS377" s="5" t="str">
        <f>HYPERLINK("https%3A%2F%2Fwww.webofscience.com%2Fwos%2Fwoscc%2Ffull-record%2FWOS:001296949400001","View Full Record in Web of Science")</f>
        <v>View Full Record in Web of Science</v>
      </c>
    </row>
    <row r="378" spans="1:71" x14ac:dyDescent="0.25">
      <c r="A378" t="s">
        <v>19</v>
      </c>
      <c r="B378" s="5" t="s">
        <v>7235</v>
      </c>
      <c r="C378" s="5" t="s">
        <v>21</v>
      </c>
      <c r="D378" s="5" t="s">
        <v>21</v>
      </c>
      <c r="E378" s="5" t="s">
        <v>21</v>
      </c>
      <c r="F378" s="5" t="s">
        <v>7236</v>
      </c>
      <c r="G378" s="5" t="s">
        <v>21</v>
      </c>
      <c r="H378" s="5" t="s">
        <v>21</v>
      </c>
      <c r="I378" s="5" t="s">
        <v>7237</v>
      </c>
      <c r="J378" s="12" t="s">
        <v>7238</v>
      </c>
      <c r="K378" s="5" t="s">
        <v>21</v>
      </c>
      <c r="L378" s="5" t="s">
        <v>21</v>
      </c>
      <c r="M378" s="5" t="s">
        <v>25</v>
      </c>
      <c r="N378" s="5" t="s">
        <v>2836</v>
      </c>
      <c r="O378" s="5" t="s">
        <v>21</v>
      </c>
      <c r="P378" s="5" t="s">
        <v>21</v>
      </c>
      <c r="Q378" s="5" t="s">
        <v>21</v>
      </c>
      <c r="R378" s="5" t="s">
        <v>21</v>
      </c>
      <c r="S378" s="5" t="s">
        <v>21</v>
      </c>
      <c r="T378" s="5" t="s">
        <v>7239</v>
      </c>
      <c r="U378" s="5" t="s">
        <v>7240</v>
      </c>
      <c r="V378" s="5" t="s">
        <v>7241</v>
      </c>
      <c r="W378" s="5" t="s">
        <v>7242</v>
      </c>
      <c r="X378" s="5" t="s">
        <v>2198</v>
      </c>
      <c r="Y378" s="5" t="s">
        <v>7243</v>
      </c>
      <c r="Z378" s="5" t="s">
        <v>7244</v>
      </c>
      <c r="AA378" s="5" t="s">
        <v>2201</v>
      </c>
      <c r="AB378" s="5" t="s">
        <v>7245</v>
      </c>
      <c r="AC378" s="5" t="s">
        <v>7246</v>
      </c>
      <c r="AD378" s="5" t="s">
        <v>7246</v>
      </c>
      <c r="AE378" s="5" t="s">
        <v>7247</v>
      </c>
      <c r="AF378" s="5">
        <v>34</v>
      </c>
      <c r="AG378" s="5">
        <v>0</v>
      </c>
      <c r="AH378" s="5">
        <v>0</v>
      </c>
      <c r="AI378" s="5">
        <v>3</v>
      </c>
      <c r="AJ378" s="5">
        <v>6</v>
      </c>
      <c r="AK378" s="5" t="s">
        <v>2706</v>
      </c>
      <c r="AL378" s="5" t="s">
        <v>494</v>
      </c>
      <c r="AM378" s="5" t="s">
        <v>2707</v>
      </c>
      <c r="AN378" s="5" t="s">
        <v>7248</v>
      </c>
      <c r="AO378" s="5" t="s">
        <v>7249</v>
      </c>
      <c r="AP378" s="5" t="s">
        <v>21</v>
      </c>
      <c r="AQ378" s="5" t="s">
        <v>7250</v>
      </c>
      <c r="AR378" s="5" t="s">
        <v>7251</v>
      </c>
      <c r="AS378" s="5" t="s">
        <v>6202</v>
      </c>
      <c r="AT378" s="5">
        <v>2024</v>
      </c>
      <c r="AU378" s="5" t="s">
        <v>21</v>
      </c>
      <c r="AV378" s="5" t="s">
        <v>21</v>
      </c>
      <c r="AW378" s="5" t="s">
        <v>21</v>
      </c>
      <c r="AX378" s="5" t="s">
        <v>21</v>
      </c>
      <c r="AY378" s="5" t="s">
        <v>21</v>
      </c>
      <c r="AZ378" s="5" t="s">
        <v>21</v>
      </c>
      <c r="BA378" s="5" t="s">
        <v>21</v>
      </c>
      <c r="BB378" s="5" t="s">
        <v>21</v>
      </c>
      <c r="BC378" s="5" t="s">
        <v>21</v>
      </c>
      <c r="BD378" s="5" t="s">
        <v>7252</v>
      </c>
      <c r="BE378" s="5" t="str">
        <f>HYPERLINK("http://dx.doi.org/10.1080/17549507.2024.2361734","http://dx.doi.org/10.1080/17549507.2024.2361734")</f>
        <v>http://dx.doi.org/10.1080/17549507.2024.2361734</v>
      </c>
      <c r="BF378" s="5" t="s">
        <v>21</v>
      </c>
      <c r="BG378" s="5" t="s">
        <v>5285</v>
      </c>
      <c r="BH378" s="5">
        <v>14</v>
      </c>
      <c r="BI378" s="5" t="s">
        <v>7253</v>
      </c>
      <c r="BJ378" s="5" t="s">
        <v>92</v>
      </c>
      <c r="BK378" s="5" t="s">
        <v>7253</v>
      </c>
      <c r="BL378" s="5" t="s">
        <v>7254</v>
      </c>
      <c r="BM378" s="5">
        <v>39135408</v>
      </c>
      <c r="BN378" s="5" t="s">
        <v>120</v>
      </c>
      <c r="BO378" s="5" t="s">
        <v>21</v>
      </c>
      <c r="BP378" s="5" t="s">
        <v>21</v>
      </c>
      <c r="BQ378" s="5" t="s">
        <v>49</v>
      </c>
      <c r="BR378" s="5" t="s">
        <v>7255</v>
      </c>
      <c r="BS378" s="5" t="str">
        <f>HYPERLINK("https%3A%2F%2Fwww.webofscience.com%2Fwos%2Fwoscc%2Ffull-record%2FWOS:001290269900001","View Full Record in Web of Science")</f>
        <v>View Full Record in Web of Science</v>
      </c>
    </row>
    <row r="379" spans="1:71" x14ac:dyDescent="0.25">
      <c r="A379" t="s">
        <v>19</v>
      </c>
      <c r="B379" s="5" t="s">
        <v>7256</v>
      </c>
      <c r="C379" s="5" t="s">
        <v>21</v>
      </c>
      <c r="D379" s="5" t="s">
        <v>21</v>
      </c>
      <c r="E379" s="5" t="s">
        <v>21</v>
      </c>
      <c r="F379" s="5" t="s">
        <v>7257</v>
      </c>
      <c r="G379" s="5" t="s">
        <v>21</v>
      </c>
      <c r="H379" s="5" t="s">
        <v>21</v>
      </c>
      <c r="I379" s="5" t="s">
        <v>7258</v>
      </c>
      <c r="J379" s="12" t="s">
        <v>7259</v>
      </c>
      <c r="K379" s="5" t="s">
        <v>21</v>
      </c>
      <c r="L379" s="5" t="s">
        <v>21</v>
      </c>
      <c r="M379" s="5" t="s">
        <v>25</v>
      </c>
      <c r="N379" s="5" t="s">
        <v>26</v>
      </c>
      <c r="O379" s="5" t="s">
        <v>21</v>
      </c>
      <c r="P379" s="5" t="s">
        <v>21</v>
      </c>
      <c r="Q379" s="5" t="s">
        <v>21</v>
      </c>
      <c r="R379" s="5" t="s">
        <v>21</v>
      </c>
      <c r="S379" s="5" t="s">
        <v>21</v>
      </c>
      <c r="T379" s="5" t="s">
        <v>7260</v>
      </c>
      <c r="U379" s="5" t="s">
        <v>7261</v>
      </c>
      <c r="V379" s="5" t="s">
        <v>7262</v>
      </c>
      <c r="W379" s="5" t="s">
        <v>7263</v>
      </c>
      <c r="X379" s="5" t="s">
        <v>7264</v>
      </c>
      <c r="Y379" s="5" t="s">
        <v>7265</v>
      </c>
      <c r="Z379" s="5" t="s">
        <v>7266</v>
      </c>
      <c r="AA379" s="5" t="s">
        <v>7267</v>
      </c>
      <c r="AB379" s="5" t="s">
        <v>21</v>
      </c>
      <c r="AC379" s="5" t="s">
        <v>21</v>
      </c>
      <c r="AD379" s="5" t="s">
        <v>21</v>
      </c>
      <c r="AE379" s="5" t="s">
        <v>21</v>
      </c>
      <c r="AF379" s="5">
        <v>40</v>
      </c>
      <c r="AG379" s="5">
        <v>0</v>
      </c>
      <c r="AH379" s="5">
        <v>0</v>
      </c>
      <c r="AI379" s="5">
        <v>10</v>
      </c>
      <c r="AJ379" s="5">
        <v>12</v>
      </c>
      <c r="AK379" s="5" t="s">
        <v>7268</v>
      </c>
      <c r="AL379" s="5" t="s">
        <v>7269</v>
      </c>
      <c r="AM379" s="5" t="s">
        <v>7270</v>
      </c>
      <c r="AN379" s="5" t="s">
        <v>7271</v>
      </c>
      <c r="AO379" s="5" t="s">
        <v>7272</v>
      </c>
      <c r="AP379" s="5" t="s">
        <v>21</v>
      </c>
      <c r="AQ379" s="5" t="s">
        <v>7273</v>
      </c>
      <c r="AR379" s="5" t="s">
        <v>7274</v>
      </c>
      <c r="AS379" s="5" t="s">
        <v>844</v>
      </c>
      <c r="AT379" s="5">
        <v>2024</v>
      </c>
      <c r="AU379" s="5" t="s">
        <v>21</v>
      </c>
      <c r="AV379" s="5">
        <v>405</v>
      </c>
      <c r="AW379" s="5" t="s">
        <v>21</v>
      </c>
      <c r="AX379" s="5" t="s">
        <v>21</v>
      </c>
      <c r="AY379" s="5" t="s">
        <v>21</v>
      </c>
      <c r="AZ379" s="5" t="s">
        <v>21</v>
      </c>
      <c r="BA379" s="5">
        <v>133</v>
      </c>
      <c r="BB379" s="5">
        <v>158</v>
      </c>
      <c r="BC379" s="5" t="s">
        <v>21</v>
      </c>
      <c r="BD379" s="5" t="s">
        <v>7275</v>
      </c>
      <c r="BE379" s="5" t="str">
        <f>HYPERLINK("http://dx.doi.org/10.4438/1988-592X-RE-2024-405-630","http://dx.doi.org/10.4438/1988-592X-RE-2024-405-630")</f>
        <v>http://dx.doi.org/10.4438/1988-592X-RE-2024-405-630</v>
      </c>
      <c r="BF379" s="5" t="s">
        <v>21</v>
      </c>
      <c r="BG379" s="5" t="s">
        <v>21</v>
      </c>
      <c r="BH379" s="5">
        <v>26</v>
      </c>
      <c r="BI379" s="5" t="s">
        <v>503</v>
      </c>
      <c r="BJ379" s="5" t="s">
        <v>45</v>
      </c>
      <c r="BK379" s="5" t="s">
        <v>503</v>
      </c>
      <c r="BL379" s="5" t="s">
        <v>7276</v>
      </c>
      <c r="BM379" s="5" t="s">
        <v>21</v>
      </c>
      <c r="BN379" s="5" t="s">
        <v>21</v>
      </c>
      <c r="BO379" s="5" t="s">
        <v>21</v>
      </c>
      <c r="BP379" s="5" t="s">
        <v>21</v>
      </c>
      <c r="BQ379" s="5" t="s">
        <v>49</v>
      </c>
      <c r="BR379" s="5" t="s">
        <v>7277</v>
      </c>
      <c r="BS379" s="5" t="str">
        <f>HYPERLINK("https%3A%2F%2Fwww.webofscience.com%2Fwos%2Fwoscc%2Ffull-record%2FWOS:001281382300006","View Full Record in Web of Science")</f>
        <v>View Full Record in Web of Science</v>
      </c>
    </row>
    <row r="380" spans="1:71" x14ac:dyDescent="0.25">
      <c r="A380" t="s">
        <v>19</v>
      </c>
      <c r="B380" s="5" t="s">
        <v>7278</v>
      </c>
      <c r="C380" s="5" t="s">
        <v>21</v>
      </c>
      <c r="D380" s="5" t="s">
        <v>21</v>
      </c>
      <c r="E380" s="5" t="s">
        <v>21</v>
      </c>
      <c r="F380" s="5" t="s">
        <v>7279</v>
      </c>
      <c r="G380" s="5" t="s">
        <v>21</v>
      </c>
      <c r="H380" s="5" t="s">
        <v>21</v>
      </c>
      <c r="I380" s="5" t="s">
        <v>7280</v>
      </c>
      <c r="J380" s="12" t="s">
        <v>5574</v>
      </c>
      <c r="K380" s="5" t="s">
        <v>21</v>
      </c>
      <c r="L380" s="5" t="s">
        <v>21</v>
      </c>
      <c r="M380" s="5" t="s">
        <v>25</v>
      </c>
      <c r="N380" s="5" t="s">
        <v>26</v>
      </c>
      <c r="O380" s="5" t="s">
        <v>21</v>
      </c>
      <c r="P380" s="5" t="s">
        <v>21</v>
      </c>
      <c r="Q380" s="5" t="s">
        <v>21</v>
      </c>
      <c r="R380" s="5" t="s">
        <v>21</v>
      </c>
      <c r="S380" s="5" t="s">
        <v>21</v>
      </c>
      <c r="T380" s="5" t="s">
        <v>7281</v>
      </c>
      <c r="U380" s="5" t="s">
        <v>21</v>
      </c>
      <c r="V380" s="5" t="s">
        <v>7282</v>
      </c>
      <c r="W380" s="5" t="s">
        <v>7283</v>
      </c>
      <c r="X380" s="5" t="s">
        <v>7284</v>
      </c>
      <c r="Y380" s="5" t="s">
        <v>7285</v>
      </c>
      <c r="Z380" s="5" t="s">
        <v>7286</v>
      </c>
      <c r="AA380" s="5" t="s">
        <v>21</v>
      </c>
      <c r="AB380" s="5" t="s">
        <v>21</v>
      </c>
      <c r="AC380" s="5" t="s">
        <v>21</v>
      </c>
      <c r="AD380" s="5" t="s">
        <v>21</v>
      </c>
      <c r="AE380" s="5" t="s">
        <v>21</v>
      </c>
      <c r="AF380" s="5">
        <v>7</v>
      </c>
      <c r="AG380" s="5">
        <v>0</v>
      </c>
      <c r="AH380" s="5">
        <v>0</v>
      </c>
      <c r="AI380" s="5">
        <v>0</v>
      </c>
      <c r="AJ380" s="5">
        <v>0</v>
      </c>
      <c r="AK380" s="5" t="s">
        <v>5582</v>
      </c>
      <c r="AL380" s="5" t="s">
        <v>5583</v>
      </c>
      <c r="AM380" s="5" t="s">
        <v>5584</v>
      </c>
      <c r="AN380" s="5" t="s">
        <v>5585</v>
      </c>
      <c r="AO380" s="5" t="s">
        <v>5586</v>
      </c>
      <c r="AP380" s="5" t="s">
        <v>21</v>
      </c>
      <c r="AQ380" s="5" t="s">
        <v>5587</v>
      </c>
      <c r="AR380" s="5" t="s">
        <v>5588</v>
      </c>
      <c r="AS380" s="5" t="s">
        <v>1233</v>
      </c>
      <c r="AT380" s="5">
        <v>2024</v>
      </c>
      <c r="AU380" s="5">
        <v>22</v>
      </c>
      <c r="AV380" s="5" t="s">
        <v>21</v>
      </c>
      <c r="AW380" s="5" t="s">
        <v>21</v>
      </c>
      <c r="AX380" s="5" t="s">
        <v>21</v>
      </c>
      <c r="AY380" s="5" t="s">
        <v>21</v>
      </c>
      <c r="AZ380" s="5" t="s">
        <v>21</v>
      </c>
      <c r="BA380" s="5" t="s">
        <v>21</v>
      </c>
      <c r="BB380" s="5" t="s">
        <v>21</v>
      </c>
      <c r="BC380" s="5" t="s">
        <v>21</v>
      </c>
      <c r="BD380" s="5" t="s">
        <v>21</v>
      </c>
      <c r="BE380" s="5" t="s">
        <v>21</v>
      </c>
      <c r="BF380" s="5" t="s">
        <v>21</v>
      </c>
      <c r="BG380" s="5" t="s">
        <v>21</v>
      </c>
      <c r="BH380" s="5">
        <v>240</v>
      </c>
      <c r="BI380" s="5" t="s">
        <v>4702</v>
      </c>
      <c r="BJ380" s="5" t="s">
        <v>1907</v>
      </c>
      <c r="BK380" s="5" t="s">
        <v>715</v>
      </c>
      <c r="BL380" s="5" t="s">
        <v>7287</v>
      </c>
      <c r="BM380" s="5" t="s">
        <v>21</v>
      </c>
      <c r="BN380" s="5" t="s">
        <v>21</v>
      </c>
      <c r="BO380" s="5" t="s">
        <v>21</v>
      </c>
      <c r="BP380" s="5" t="s">
        <v>21</v>
      </c>
      <c r="BQ380" s="5" t="s">
        <v>49</v>
      </c>
      <c r="BR380" s="5" t="s">
        <v>7288</v>
      </c>
      <c r="BS380" s="5" t="str">
        <f>HYPERLINK("https%3A%2F%2Fwww.webofscience.com%2Fwos%2Fwoscc%2Ffull-record%2FWOS:001470482100025","View Full Record in Web of Science")</f>
        <v>View Full Record in Web of Science</v>
      </c>
    </row>
    <row r="381" spans="1:71" x14ac:dyDescent="0.25">
      <c r="A381" t="s">
        <v>19</v>
      </c>
      <c r="B381" s="5" t="s">
        <v>7289</v>
      </c>
      <c r="C381" s="5" t="s">
        <v>21</v>
      </c>
      <c r="D381" s="5" t="s">
        <v>21</v>
      </c>
      <c r="E381" s="5" t="s">
        <v>21</v>
      </c>
      <c r="F381" s="5" t="s">
        <v>7290</v>
      </c>
      <c r="G381" s="5" t="s">
        <v>21</v>
      </c>
      <c r="H381" s="5" t="s">
        <v>21</v>
      </c>
      <c r="I381" s="5" t="s">
        <v>7291</v>
      </c>
      <c r="J381" s="12" t="s">
        <v>24</v>
      </c>
      <c r="K381" s="5" t="s">
        <v>21</v>
      </c>
      <c r="L381" s="5" t="s">
        <v>21</v>
      </c>
      <c r="M381" s="5" t="s">
        <v>25</v>
      </c>
      <c r="N381" s="5" t="s">
        <v>2836</v>
      </c>
      <c r="O381" s="5" t="s">
        <v>21</v>
      </c>
      <c r="P381" s="5" t="s">
        <v>21</v>
      </c>
      <c r="Q381" s="5" t="s">
        <v>21</v>
      </c>
      <c r="R381" s="5" t="s">
        <v>21</v>
      </c>
      <c r="S381" s="5" t="s">
        <v>21</v>
      </c>
      <c r="T381" s="5" t="s">
        <v>7292</v>
      </c>
      <c r="U381" s="5" t="s">
        <v>7293</v>
      </c>
      <c r="V381" s="5" t="s">
        <v>7294</v>
      </c>
      <c r="W381" s="5" t="s">
        <v>7295</v>
      </c>
      <c r="X381" s="5" t="s">
        <v>7296</v>
      </c>
      <c r="Y381" s="5" t="s">
        <v>7297</v>
      </c>
      <c r="Z381" s="5" t="s">
        <v>7298</v>
      </c>
      <c r="AA381" s="5" t="s">
        <v>21</v>
      </c>
      <c r="AB381" s="5" t="s">
        <v>7299</v>
      </c>
      <c r="AC381" s="5" t="s">
        <v>21</v>
      </c>
      <c r="AD381" s="5" t="s">
        <v>21</v>
      </c>
      <c r="AE381" s="5" t="s">
        <v>21</v>
      </c>
      <c r="AF381" s="5">
        <v>33</v>
      </c>
      <c r="AG381" s="5">
        <v>0</v>
      </c>
      <c r="AH381" s="5">
        <v>0</v>
      </c>
      <c r="AI381" s="5">
        <v>0</v>
      </c>
      <c r="AJ381" s="5">
        <v>4</v>
      </c>
      <c r="AK381" s="5" t="s">
        <v>35</v>
      </c>
      <c r="AL381" s="5" t="s">
        <v>36</v>
      </c>
      <c r="AM381" s="5" t="s">
        <v>37</v>
      </c>
      <c r="AN381" s="5" t="s">
        <v>38</v>
      </c>
      <c r="AO381" s="5" t="s">
        <v>39</v>
      </c>
      <c r="AP381" s="5" t="s">
        <v>21</v>
      </c>
      <c r="AQ381" s="5" t="s">
        <v>40</v>
      </c>
      <c r="AR381" s="5" t="s">
        <v>41</v>
      </c>
      <c r="AS381" s="5" t="s">
        <v>7300</v>
      </c>
      <c r="AT381" s="5">
        <v>2024</v>
      </c>
      <c r="AU381" s="5" t="s">
        <v>21</v>
      </c>
      <c r="AV381" s="5" t="s">
        <v>21</v>
      </c>
      <c r="AW381" s="5" t="s">
        <v>21</v>
      </c>
      <c r="AX381" s="5" t="s">
        <v>21</v>
      </c>
      <c r="AY381" s="5" t="s">
        <v>21</v>
      </c>
      <c r="AZ381" s="5" t="s">
        <v>21</v>
      </c>
      <c r="BA381" s="5" t="s">
        <v>21</v>
      </c>
      <c r="BB381" s="5" t="s">
        <v>21</v>
      </c>
      <c r="BC381" s="5" t="s">
        <v>21</v>
      </c>
      <c r="BD381" s="5" t="s">
        <v>7301</v>
      </c>
      <c r="BE381" s="5" t="str">
        <f>HYPERLINK("http://dx.doi.org/10.1007/s10803-024-06383-6","http://dx.doi.org/10.1007/s10803-024-06383-6")</f>
        <v>http://dx.doi.org/10.1007/s10803-024-06383-6</v>
      </c>
      <c r="BF381" s="5" t="s">
        <v>21</v>
      </c>
      <c r="BG381" s="5" t="s">
        <v>5308</v>
      </c>
      <c r="BH381" s="5">
        <v>8</v>
      </c>
      <c r="BI381" s="5" t="s">
        <v>44</v>
      </c>
      <c r="BJ381" s="5" t="s">
        <v>45</v>
      </c>
      <c r="BK381" s="5" t="s">
        <v>46</v>
      </c>
      <c r="BL381" s="5" t="s">
        <v>7302</v>
      </c>
      <c r="BM381" s="5">
        <v>38748327</v>
      </c>
      <c r="BN381" s="5" t="s">
        <v>21</v>
      </c>
      <c r="BO381" s="5" t="s">
        <v>21</v>
      </c>
      <c r="BP381" s="5" t="s">
        <v>21</v>
      </c>
      <c r="BQ381" s="5" t="s">
        <v>49</v>
      </c>
      <c r="BR381" s="5" t="s">
        <v>7303</v>
      </c>
      <c r="BS381" s="5" t="str">
        <f>HYPERLINK("https%3A%2F%2Fwww.webofscience.com%2Fwos%2Fwoscc%2Ffull-record%2FWOS:001223472400002","View Full Record in Web of Science")</f>
        <v>View Full Record in Web of Science</v>
      </c>
    </row>
    <row r="382" spans="1:71" x14ac:dyDescent="0.25">
      <c r="A382" t="s">
        <v>19</v>
      </c>
      <c r="B382" s="5" t="s">
        <v>7304</v>
      </c>
      <c r="C382" s="5" t="s">
        <v>21</v>
      </c>
      <c r="D382" s="5" t="s">
        <v>21</v>
      </c>
      <c r="E382" s="5" t="s">
        <v>21</v>
      </c>
      <c r="F382" s="5" t="s">
        <v>7305</v>
      </c>
      <c r="G382" s="5" t="s">
        <v>21</v>
      </c>
      <c r="H382" s="5" t="s">
        <v>21</v>
      </c>
      <c r="I382" s="5" t="s">
        <v>7306</v>
      </c>
      <c r="J382" s="12" t="s">
        <v>7307</v>
      </c>
      <c r="K382" s="5" t="s">
        <v>21</v>
      </c>
      <c r="L382" s="5" t="s">
        <v>21</v>
      </c>
      <c r="M382" s="5" t="s">
        <v>25</v>
      </c>
      <c r="N382" s="5" t="s">
        <v>76</v>
      </c>
      <c r="O382" s="5" t="s">
        <v>21</v>
      </c>
      <c r="P382" s="5" t="s">
        <v>21</v>
      </c>
      <c r="Q382" s="5" t="s">
        <v>21</v>
      </c>
      <c r="R382" s="5" t="s">
        <v>21</v>
      </c>
      <c r="S382" s="5" t="s">
        <v>21</v>
      </c>
      <c r="T382" s="5" t="s">
        <v>7308</v>
      </c>
      <c r="U382" s="5" t="s">
        <v>7309</v>
      </c>
      <c r="V382" s="5" t="s">
        <v>7310</v>
      </c>
      <c r="W382" s="5" t="s">
        <v>7311</v>
      </c>
      <c r="X382" s="5" t="s">
        <v>7312</v>
      </c>
      <c r="Y382" s="5" t="s">
        <v>7313</v>
      </c>
      <c r="Z382" s="5" t="s">
        <v>7314</v>
      </c>
      <c r="AA382" s="5" t="s">
        <v>21</v>
      </c>
      <c r="AB382" s="5" t="s">
        <v>21</v>
      </c>
      <c r="AC382" s="5" t="s">
        <v>21</v>
      </c>
      <c r="AD382" s="5" t="s">
        <v>21</v>
      </c>
      <c r="AE382" s="5" t="s">
        <v>21</v>
      </c>
      <c r="AF382" s="5">
        <v>21</v>
      </c>
      <c r="AG382" s="5">
        <v>0</v>
      </c>
      <c r="AH382" s="5">
        <v>0</v>
      </c>
      <c r="AI382" s="5">
        <v>8</v>
      </c>
      <c r="AJ382" s="5">
        <v>8</v>
      </c>
      <c r="AK382" s="5" t="s">
        <v>7315</v>
      </c>
      <c r="AL382" s="5" t="s">
        <v>7316</v>
      </c>
      <c r="AM382" s="5" t="s">
        <v>7317</v>
      </c>
      <c r="AN382" s="5" t="s">
        <v>7318</v>
      </c>
      <c r="AO382" s="5" t="s">
        <v>7319</v>
      </c>
      <c r="AP382" s="5" t="s">
        <v>21</v>
      </c>
      <c r="AQ382" s="5" t="s">
        <v>7320</v>
      </c>
      <c r="AR382" s="5" t="s">
        <v>7321</v>
      </c>
      <c r="AS382" s="5" t="s">
        <v>7322</v>
      </c>
      <c r="AT382" s="5">
        <v>2024</v>
      </c>
      <c r="AU382" s="5">
        <v>26</v>
      </c>
      <c r="AV382" s="5">
        <v>2</v>
      </c>
      <c r="AW382" s="5" t="s">
        <v>21</v>
      </c>
      <c r="AX382" s="5" t="s">
        <v>21</v>
      </c>
      <c r="AY382" s="5" t="s">
        <v>21</v>
      </c>
      <c r="AZ382" s="5" t="s">
        <v>21</v>
      </c>
      <c r="BA382" s="5">
        <v>161</v>
      </c>
      <c r="BB382" s="5">
        <v>164</v>
      </c>
      <c r="BC382" s="5" t="s">
        <v>21</v>
      </c>
      <c r="BD382" s="5" t="s">
        <v>7323</v>
      </c>
      <c r="BE382" s="5" t="str">
        <f>HYPERLINK("http://dx.doi.org/10.4103/jmms.jmms_89_23","http://dx.doi.org/10.4103/jmms.jmms_89_23")</f>
        <v>http://dx.doi.org/10.4103/jmms.jmms_89_23</v>
      </c>
      <c r="BF382" s="5" t="s">
        <v>21</v>
      </c>
      <c r="BG382" s="5" t="s">
        <v>21</v>
      </c>
      <c r="BH382" s="5">
        <v>4</v>
      </c>
      <c r="BI382" s="5" t="s">
        <v>523</v>
      </c>
      <c r="BJ382" s="5" t="s">
        <v>1907</v>
      </c>
      <c r="BK382" s="5" t="s">
        <v>523</v>
      </c>
      <c r="BL382" s="5" t="s">
        <v>7324</v>
      </c>
      <c r="BM382" s="5" t="s">
        <v>21</v>
      </c>
      <c r="BN382" s="5" t="s">
        <v>1909</v>
      </c>
      <c r="BO382" s="5" t="s">
        <v>21</v>
      </c>
      <c r="BP382" s="5" t="s">
        <v>21</v>
      </c>
      <c r="BQ382" s="5" t="s">
        <v>49</v>
      </c>
      <c r="BR382" s="5" t="s">
        <v>7325</v>
      </c>
      <c r="BS382" s="5" t="str">
        <f>HYPERLINK("https%3A%2F%2Fwww.webofscience.com%2Fwos%2Fwoscc%2Ffull-record%2FWOS:001316507300003","View Full Record in Web of Science")</f>
        <v>View Full Record in Web of Science</v>
      </c>
    </row>
    <row r="383" spans="1:71" x14ac:dyDescent="0.25">
      <c r="A383" t="s">
        <v>19</v>
      </c>
      <c r="B383" s="5" t="s">
        <v>7326</v>
      </c>
      <c r="C383" s="5" t="s">
        <v>21</v>
      </c>
      <c r="D383" s="5" t="s">
        <v>21</v>
      </c>
      <c r="E383" s="5" t="s">
        <v>21</v>
      </c>
      <c r="F383" s="5" t="s">
        <v>7327</v>
      </c>
      <c r="G383" s="5" t="s">
        <v>21</v>
      </c>
      <c r="H383" s="5" t="s">
        <v>21</v>
      </c>
      <c r="I383" s="5" t="s">
        <v>7328</v>
      </c>
      <c r="J383" s="12" t="s">
        <v>7329</v>
      </c>
      <c r="K383" s="5" t="s">
        <v>21</v>
      </c>
      <c r="L383" s="5" t="s">
        <v>21</v>
      </c>
      <c r="M383" s="5" t="s">
        <v>25</v>
      </c>
      <c r="N383" s="5" t="s">
        <v>26</v>
      </c>
      <c r="O383" s="5" t="s">
        <v>21</v>
      </c>
      <c r="P383" s="5" t="s">
        <v>21</v>
      </c>
      <c r="Q383" s="5" t="s">
        <v>21</v>
      </c>
      <c r="R383" s="5" t="s">
        <v>21</v>
      </c>
      <c r="S383" s="5" t="s">
        <v>21</v>
      </c>
      <c r="T383" s="5" t="s">
        <v>7330</v>
      </c>
      <c r="U383" s="5" t="s">
        <v>7331</v>
      </c>
      <c r="V383" s="5" t="s">
        <v>7332</v>
      </c>
      <c r="W383" s="5" t="s">
        <v>7333</v>
      </c>
      <c r="X383" s="5" t="s">
        <v>7334</v>
      </c>
      <c r="Y383" s="5" t="s">
        <v>7335</v>
      </c>
      <c r="Z383" s="5" t="s">
        <v>7336</v>
      </c>
      <c r="AA383" s="5" t="s">
        <v>21</v>
      </c>
      <c r="AB383" s="5" t="s">
        <v>21</v>
      </c>
      <c r="AC383" s="5" t="s">
        <v>21</v>
      </c>
      <c r="AD383" s="5" t="s">
        <v>21</v>
      </c>
      <c r="AE383" s="5" t="s">
        <v>21</v>
      </c>
      <c r="AF383" s="5">
        <v>85</v>
      </c>
      <c r="AG383" s="5">
        <v>0</v>
      </c>
      <c r="AH383" s="5">
        <v>0</v>
      </c>
      <c r="AI383" s="5">
        <v>4</v>
      </c>
      <c r="AJ383" s="5">
        <v>10</v>
      </c>
      <c r="AK383" s="5" t="s">
        <v>5916</v>
      </c>
      <c r="AL383" s="5" t="s">
        <v>5917</v>
      </c>
      <c r="AM383" s="5" t="s">
        <v>5918</v>
      </c>
      <c r="AN383" s="5" t="s">
        <v>7337</v>
      </c>
      <c r="AO383" s="5" t="s">
        <v>21</v>
      </c>
      <c r="AP383" s="5" t="s">
        <v>21</v>
      </c>
      <c r="AQ383" s="5" t="s">
        <v>7338</v>
      </c>
      <c r="AR383" s="5" t="s">
        <v>7339</v>
      </c>
      <c r="AS383" s="5" t="s">
        <v>176</v>
      </c>
      <c r="AT383" s="5">
        <v>2024</v>
      </c>
      <c r="AU383" s="5">
        <v>30</v>
      </c>
      <c r="AV383" s="5">
        <v>1</v>
      </c>
      <c r="AW383" s="5" t="s">
        <v>21</v>
      </c>
      <c r="AX383" s="5" t="s">
        <v>21</v>
      </c>
      <c r="AY383" s="5" t="s">
        <v>21</v>
      </c>
      <c r="AZ383" s="5" t="s">
        <v>21</v>
      </c>
      <c r="BA383" s="5">
        <v>1</v>
      </c>
      <c r="BB383" s="5">
        <v>16</v>
      </c>
      <c r="BC383" s="5" t="s">
        <v>21</v>
      </c>
      <c r="BD383" s="5" t="s">
        <v>7340</v>
      </c>
      <c r="BE383" s="5" t="str">
        <f>HYPERLINK("http://dx.doi.org/10.1016/j.prps.2023.04.001","http://dx.doi.org/10.1016/j.prps.2023.04.001")</f>
        <v>http://dx.doi.org/10.1016/j.prps.2023.04.001</v>
      </c>
      <c r="BF383" s="5" t="s">
        <v>21</v>
      </c>
      <c r="BG383" s="5" t="s">
        <v>3993</v>
      </c>
      <c r="BH383" s="5">
        <v>16</v>
      </c>
      <c r="BI383" s="5" t="s">
        <v>7341</v>
      </c>
      <c r="BJ383" s="5" t="s">
        <v>92</v>
      </c>
      <c r="BK383" s="5" t="s">
        <v>46</v>
      </c>
      <c r="BL383" s="5" t="s">
        <v>7342</v>
      </c>
      <c r="BM383" s="5" t="s">
        <v>21</v>
      </c>
      <c r="BN383" s="5" t="s">
        <v>21</v>
      </c>
      <c r="BO383" s="5" t="s">
        <v>21</v>
      </c>
      <c r="BP383" s="5" t="s">
        <v>21</v>
      </c>
      <c r="BQ383" s="5" t="s">
        <v>49</v>
      </c>
      <c r="BR383" s="5" t="s">
        <v>7343</v>
      </c>
      <c r="BS383" s="5" t="str">
        <f>HYPERLINK("https%3A%2F%2Fwww.webofscience.com%2Fwos%2Fwoscc%2Ffull-record%2FWOS:001217822100001","View Full Record in Web of Science")</f>
        <v>View Full Record in Web of Science</v>
      </c>
    </row>
    <row r="384" spans="1:71" x14ac:dyDescent="0.25">
      <c r="A384" t="s">
        <v>19</v>
      </c>
      <c r="B384" s="5" t="s">
        <v>7344</v>
      </c>
      <c r="C384" s="5" t="s">
        <v>21</v>
      </c>
      <c r="D384" s="5" t="s">
        <v>21</v>
      </c>
      <c r="E384" s="5" t="s">
        <v>21</v>
      </c>
      <c r="F384" s="5" t="s">
        <v>7345</v>
      </c>
      <c r="G384" s="5" t="s">
        <v>21</v>
      </c>
      <c r="H384" s="5" t="s">
        <v>21</v>
      </c>
      <c r="I384" s="5" t="s">
        <v>7346</v>
      </c>
      <c r="J384" s="12" t="s">
        <v>7347</v>
      </c>
      <c r="K384" s="5" t="s">
        <v>21</v>
      </c>
      <c r="L384" s="5" t="s">
        <v>21</v>
      </c>
      <c r="M384" s="5" t="s">
        <v>25</v>
      </c>
      <c r="N384" s="5" t="s">
        <v>76</v>
      </c>
      <c r="O384" s="5" t="s">
        <v>21</v>
      </c>
      <c r="P384" s="5" t="s">
        <v>21</v>
      </c>
      <c r="Q384" s="5" t="s">
        <v>21</v>
      </c>
      <c r="R384" s="5" t="s">
        <v>21</v>
      </c>
      <c r="S384" s="5" t="s">
        <v>21</v>
      </c>
      <c r="T384" s="5" t="s">
        <v>7348</v>
      </c>
      <c r="U384" s="5" t="s">
        <v>7349</v>
      </c>
      <c r="V384" s="5" t="s">
        <v>7350</v>
      </c>
      <c r="W384" s="5" t="s">
        <v>7351</v>
      </c>
      <c r="X384" s="5" t="s">
        <v>7352</v>
      </c>
      <c r="Y384" s="5" t="s">
        <v>7353</v>
      </c>
      <c r="Z384" s="5" t="s">
        <v>7354</v>
      </c>
      <c r="AA384" s="5" t="s">
        <v>21</v>
      </c>
      <c r="AB384" s="5" t="s">
        <v>21</v>
      </c>
      <c r="AC384" s="5" t="s">
        <v>21</v>
      </c>
      <c r="AD384" s="5" t="s">
        <v>21</v>
      </c>
      <c r="AE384" s="5" t="s">
        <v>21</v>
      </c>
      <c r="AF384" s="5">
        <v>58</v>
      </c>
      <c r="AG384" s="5">
        <v>0</v>
      </c>
      <c r="AH384" s="5">
        <v>0</v>
      </c>
      <c r="AI384" s="5">
        <v>2</v>
      </c>
      <c r="AJ384" s="5">
        <v>7</v>
      </c>
      <c r="AK384" s="5" t="s">
        <v>1133</v>
      </c>
      <c r="AL384" s="5" t="s">
        <v>1134</v>
      </c>
      <c r="AM384" s="5" t="s">
        <v>1135</v>
      </c>
      <c r="AN384" s="5" t="s">
        <v>7355</v>
      </c>
      <c r="AO384" s="5" t="s">
        <v>7356</v>
      </c>
      <c r="AP384" s="5" t="s">
        <v>21</v>
      </c>
      <c r="AQ384" s="5" t="s">
        <v>7347</v>
      </c>
      <c r="AR384" s="5" t="s">
        <v>7357</v>
      </c>
      <c r="AS384" s="5" t="s">
        <v>690</v>
      </c>
      <c r="AT384" s="5">
        <v>2024</v>
      </c>
      <c r="AU384" s="5">
        <v>58</v>
      </c>
      <c r="AV384" s="5">
        <v>1</v>
      </c>
      <c r="AW384" s="5" t="s">
        <v>21</v>
      </c>
      <c r="AX384" s="5" t="s">
        <v>21</v>
      </c>
      <c r="AY384" s="5" t="s">
        <v>21</v>
      </c>
      <c r="AZ384" s="5" t="s">
        <v>21</v>
      </c>
      <c r="BA384" s="5" t="s">
        <v>21</v>
      </c>
      <c r="BB384" s="5" t="s">
        <v>21</v>
      </c>
      <c r="BC384" s="5">
        <v>100820</v>
      </c>
      <c r="BD384" s="5" t="s">
        <v>7358</v>
      </c>
      <c r="BE384" s="5" t="str">
        <f>HYPERLINK("http://dx.doi.org/10.1016/j.rh.2023.100820","http://dx.doi.org/10.1016/j.rh.2023.100820")</f>
        <v>http://dx.doi.org/10.1016/j.rh.2023.100820</v>
      </c>
      <c r="BF384" s="5" t="s">
        <v>21</v>
      </c>
      <c r="BG384" s="5" t="s">
        <v>21</v>
      </c>
      <c r="BH384" s="5">
        <v>10</v>
      </c>
      <c r="BI384" s="5" t="s">
        <v>2990</v>
      </c>
      <c r="BJ384" s="5" t="s">
        <v>1907</v>
      </c>
      <c r="BK384" s="5" t="s">
        <v>2990</v>
      </c>
      <c r="BL384" s="5" t="s">
        <v>7359</v>
      </c>
      <c r="BM384" s="5">
        <v>37913716</v>
      </c>
      <c r="BN384" s="5" t="s">
        <v>21</v>
      </c>
      <c r="BO384" s="5" t="s">
        <v>21</v>
      </c>
      <c r="BP384" s="5" t="s">
        <v>21</v>
      </c>
      <c r="BQ384" s="5" t="s">
        <v>49</v>
      </c>
      <c r="BR384" s="5" t="s">
        <v>7360</v>
      </c>
      <c r="BS384" s="5" t="str">
        <f>HYPERLINK("https%3A%2F%2Fwww.webofscience.com%2Fwos%2Fwoscc%2Ffull-record%2FWOS:001332353300001","View Full Record in Web of Science")</f>
        <v>View Full Record in Web of Science</v>
      </c>
    </row>
    <row r="385" spans="1:71" x14ac:dyDescent="0.25">
      <c r="A385" t="s">
        <v>19</v>
      </c>
      <c r="B385" s="5" t="s">
        <v>7361</v>
      </c>
      <c r="C385" s="5" t="s">
        <v>21</v>
      </c>
      <c r="D385" s="5" t="s">
        <v>21</v>
      </c>
      <c r="E385" s="5" t="s">
        <v>21</v>
      </c>
      <c r="F385" s="5" t="s">
        <v>7362</v>
      </c>
      <c r="G385" s="5" t="s">
        <v>21</v>
      </c>
      <c r="H385" s="5" t="s">
        <v>21</v>
      </c>
      <c r="I385" s="5" t="s">
        <v>7363</v>
      </c>
      <c r="J385" s="12" t="s">
        <v>4118</v>
      </c>
      <c r="K385" s="5" t="s">
        <v>21</v>
      </c>
      <c r="L385" s="5" t="s">
        <v>21</v>
      </c>
      <c r="M385" s="5" t="s">
        <v>25</v>
      </c>
      <c r="N385" s="5" t="s">
        <v>26</v>
      </c>
      <c r="O385" s="5" t="s">
        <v>21</v>
      </c>
      <c r="P385" s="5" t="s">
        <v>21</v>
      </c>
      <c r="Q385" s="5" t="s">
        <v>21</v>
      </c>
      <c r="R385" s="5" t="s">
        <v>21</v>
      </c>
      <c r="S385" s="5" t="s">
        <v>21</v>
      </c>
      <c r="T385" s="5" t="s">
        <v>7364</v>
      </c>
      <c r="U385" s="5" t="s">
        <v>21</v>
      </c>
      <c r="V385" s="5" t="s">
        <v>7365</v>
      </c>
      <c r="W385" s="5" t="s">
        <v>7366</v>
      </c>
      <c r="X385" s="5" t="s">
        <v>7367</v>
      </c>
      <c r="Y385" s="5" t="s">
        <v>7368</v>
      </c>
      <c r="Z385" s="5" t="s">
        <v>1711</v>
      </c>
      <c r="AA385" s="5" t="s">
        <v>1287</v>
      </c>
      <c r="AB385" s="5" t="s">
        <v>7369</v>
      </c>
      <c r="AC385" s="5" t="s">
        <v>21</v>
      </c>
      <c r="AD385" s="5" t="s">
        <v>21</v>
      </c>
      <c r="AE385" s="5" t="s">
        <v>21</v>
      </c>
      <c r="AF385" s="5">
        <v>15</v>
      </c>
      <c r="AG385" s="5">
        <v>0</v>
      </c>
      <c r="AH385" s="5">
        <v>0</v>
      </c>
      <c r="AI385" s="5">
        <v>3</v>
      </c>
      <c r="AJ385" s="5">
        <v>8</v>
      </c>
      <c r="AK385" s="5" t="s">
        <v>4126</v>
      </c>
      <c r="AL385" s="5" t="s">
        <v>4127</v>
      </c>
      <c r="AM385" s="5" t="s">
        <v>4128</v>
      </c>
      <c r="AN385" s="5" t="s">
        <v>4129</v>
      </c>
      <c r="AO385" s="5" t="s">
        <v>4130</v>
      </c>
      <c r="AP385" s="5" t="s">
        <v>21</v>
      </c>
      <c r="AQ385" s="5" t="s">
        <v>4131</v>
      </c>
      <c r="AR385" s="5" t="s">
        <v>4132</v>
      </c>
      <c r="AS385" s="5" t="s">
        <v>176</v>
      </c>
      <c r="AT385" s="5">
        <v>2024</v>
      </c>
      <c r="AU385" s="5">
        <v>84</v>
      </c>
      <c r="AV385" s="5" t="s">
        <v>21</v>
      </c>
      <c r="AW385" s="5" t="s">
        <v>21</v>
      </c>
      <c r="AX385" s="5">
        <v>1</v>
      </c>
      <c r="AY385" s="5" t="s">
        <v>21</v>
      </c>
      <c r="AZ385" s="5" t="s">
        <v>21</v>
      </c>
      <c r="BA385" s="5">
        <v>57</v>
      </c>
      <c r="BB385" s="5">
        <v>64</v>
      </c>
      <c r="BC385" s="5" t="s">
        <v>21</v>
      </c>
      <c r="BD385" s="5" t="s">
        <v>21</v>
      </c>
      <c r="BE385" s="5" t="s">
        <v>21</v>
      </c>
      <c r="BF385" s="5" t="s">
        <v>21</v>
      </c>
      <c r="BG385" s="5" t="s">
        <v>21</v>
      </c>
      <c r="BH385" s="5">
        <v>8</v>
      </c>
      <c r="BI385" s="5" t="s">
        <v>1603</v>
      </c>
      <c r="BJ385" s="5" t="s">
        <v>524</v>
      </c>
      <c r="BK385" s="5" t="s">
        <v>1604</v>
      </c>
      <c r="BL385" s="5" t="s">
        <v>7370</v>
      </c>
      <c r="BM385" s="5">
        <v>38350626</v>
      </c>
      <c r="BN385" s="5" t="s">
        <v>21</v>
      </c>
      <c r="BO385" s="5" t="s">
        <v>21</v>
      </c>
      <c r="BP385" s="5" t="s">
        <v>21</v>
      </c>
      <c r="BQ385" s="5" t="s">
        <v>49</v>
      </c>
      <c r="BR385" s="5" t="s">
        <v>7371</v>
      </c>
      <c r="BS385" s="5" t="str">
        <f>HYPERLINK("https%3A%2F%2Fwww.webofscience.com%2Fwos%2Fwoscc%2Ffull-record%2FWOS:001208370600006","View Full Record in Web of Science")</f>
        <v>View Full Record in Web of Science</v>
      </c>
    </row>
    <row r="386" spans="1:71" x14ac:dyDescent="0.25">
      <c r="A386" t="s">
        <v>19</v>
      </c>
      <c r="B386" s="5" t="s">
        <v>7372</v>
      </c>
      <c r="C386" s="5" t="s">
        <v>21</v>
      </c>
      <c r="D386" s="5" t="s">
        <v>21</v>
      </c>
      <c r="E386" s="5" t="s">
        <v>21</v>
      </c>
      <c r="F386" s="5" t="s">
        <v>7373</v>
      </c>
      <c r="G386" s="5" t="s">
        <v>21</v>
      </c>
      <c r="H386" s="5" t="s">
        <v>21</v>
      </c>
      <c r="I386" s="5" t="s">
        <v>7374</v>
      </c>
      <c r="J386" s="12" t="s">
        <v>6823</v>
      </c>
      <c r="K386" s="5" t="s">
        <v>21</v>
      </c>
      <c r="L386" s="5" t="s">
        <v>21</v>
      </c>
      <c r="M386" s="5" t="s">
        <v>25</v>
      </c>
      <c r="N386" s="5" t="s">
        <v>26</v>
      </c>
      <c r="O386" s="5" t="s">
        <v>21</v>
      </c>
      <c r="P386" s="5" t="s">
        <v>21</v>
      </c>
      <c r="Q386" s="5" t="s">
        <v>21</v>
      </c>
      <c r="R386" s="5" t="s">
        <v>21</v>
      </c>
      <c r="S386" s="5" t="s">
        <v>21</v>
      </c>
      <c r="T386" s="5" t="s">
        <v>7375</v>
      </c>
      <c r="U386" s="5" t="s">
        <v>21</v>
      </c>
      <c r="V386" s="5" t="s">
        <v>7376</v>
      </c>
      <c r="W386" s="5" t="s">
        <v>7377</v>
      </c>
      <c r="X386" s="5" t="s">
        <v>7378</v>
      </c>
      <c r="Y386" s="5" t="s">
        <v>7379</v>
      </c>
      <c r="Z386" s="5" t="s">
        <v>7380</v>
      </c>
      <c r="AA386" s="5" t="s">
        <v>7381</v>
      </c>
      <c r="AB386" s="5" t="s">
        <v>7382</v>
      </c>
      <c r="AC386" s="5" t="s">
        <v>7383</v>
      </c>
      <c r="AD386" s="5" t="s">
        <v>7383</v>
      </c>
      <c r="AE386" s="5" t="s">
        <v>7384</v>
      </c>
      <c r="AF386" s="5">
        <v>25</v>
      </c>
      <c r="AG386" s="5">
        <v>0</v>
      </c>
      <c r="AH386" s="5">
        <v>0</v>
      </c>
      <c r="AI386" s="5">
        <v>6</v>
      </c>
      <c r="AJ386" s="5">
        <v>13</v>
      </c>
      <c r="AK386" s="5" t="s">
        <v>110</v>
      </c>
      <c r="AL386" s="5" t="s">
        <v>84</v>
      </c>
      <c r="AM386" s="5" t="s">
        <v>111</v>
      </c>
      <c r="AN386" s="5" t="s">
        <v>6835</v>
      </c>
      <c r="AO386" s="5" t="s">
        <v>6836</v>
      </c>
      <c r="AP386" s="5" t="s">
        <v>21</v>
      </c>
      <c r="AQ386" s="5" t="s">
        <v>6837</v>
      </c>
      <c r="AR386" s="5" t="s">
        <v>6838</v>
      </c>
      <c r="AS386" s="5" t="s">
        <v>7385</v>
      </c>
      <c r="AT386" s="5">
        <v>2024</v>
      </c>
      <c r="AU386" s="5">
        <v>249</v>
      </c>
      <c r="AV386" s="5" t="s">
        <v>21</v>
      </c>
      <c r="AW386" s="5" t="s">
        <v>7386</v>
      </c>
      <c r="AX386" s="5" t="s">
        <v>21</v>
      </c>
      <c r="AY386" s="5" t="s">
        <v>21</v>
      </c>
      <c r="AZ386" s="5" t="s">
        <v>21</v>
      </c>
      <c r="BA386" s="5" t="s">
        <v>21</v>
      </c>
      <c r="BB386" s="5" t="s">
        <v>21</v>
      </c>
      <c r="BC386" s="5">
        <v>123484</v>
      </c>
      <c r="BD386" s="5" t="s">
        <v>7387</v>
      </c>
      <c r="BE386" s="5" t="str">
        <f>HYPERLINK("http://dx.doi.org/10.1016/j.eswa.2024.123484","http://dx.doi.org/10.1016/j.eswa.2024.123484")</f>
        <v>http://dx.doi.org/10.1016/j.eswa.2024.123484</v>
      </c>
      <c r="BF386" s="5" t="s">
        <v>21</v>
      </c>
      <c r="BG386" s="5" t="s">
        <v>5367</v>
      </c>
      <c r="BH386" s="5">
        <v>14</v>
      </c>
      <c r="BI386" s="5" t="s">
        <v>6841</v>
      </c>
      <c r="BJ386" s="5" t="s">
        <v>524</v>
      </c>
      <c r="BK386" s="5" t="s">
        <v>6842</v>
      </c>
      <c r="BL386" s="5" t="s">
        <v>7388</v>
      </c>
      <c r="BM386" s="5" t="s">
        <v>21</v>
      </c>
      <c r="BN386" s="5" t="s">
        <v>21</v>
      </c>
      <c r="BO386" s="5" t="s">
        <v>21</v>
      </c>
      <c r="BP386" s="5" t="s">
        <v>21</v>
      </c>
      <c r="BQ386" s="5" t="s">
        <v>49</v>
      </c>
      <c r="BR386" s="5" t="s">
        <v>7389</v>
      </c>
      <c r="BS386" s="5" t="str">
        <f>HYPERLINK("https%3A%2F%2Fwww.webofscience.com%2Fwos%2Fwoscc%2Ffull-record%2FWOS:001209703600001","View Full Record in Web of Science")</f>
        <v>View Full Record in Web of Science</v>
      </c>
    </row>
    <row r="387" spans="1:71" x14ac:dyDescent="0.25">
      <c r="A387" t="s">
        <v>19</v>
      </c>
      <c r="B387" s="5" t="s">
        <v>7390</v>
      </c>
      <c r="C387" s="5" t="s">
        <v>21</v>
      </c>
      <c r="D387" s="5" t="s">
        <v>21</v>
      </c>
      <c r="E387" s="5" t="s">
        <v>21</v>
      </c>
      <c r="F387" s="5" t="s">
        <v>7391</v>
      </c>
      <c r="G387" s="5" t="s">
        <v>21</v>
      </c>
      <c r="H387" s="5" t="s">
        <v>21</v>
      </c>
      <c r="I387" s="5" t="s">
        <v>7392</v>
      </c>
      <c r="J387" s="12" t="s">
        <v>6041</v>
      </c>
      <c r="K387" s="5" t="s">
        <v>21</v>
      </c>
      <c r="L387" s="5" t="s">
        <v>21</v>
      </c>
      <c r="M387" s="5" t="s">
        <v>25</v>
      </c>
      <c r="N387" s="5" t="s">
        <v>2836</v>
      </c>
      <c r="O387" s="5" t="s">
        <v>21</v>
      </c>
      <c r="P387" s="5" t="s">
        <v>21</v>
      </c>
      <c r="Q387" s="5" t="s">
        <v>21</v>
      </c>
      <c r="R387" s="5" t="s">
        <v>21</v>
      </c>
      <c r="S387" s="5" t="s">
        <v>21</v>
      </c>
      <c r="T387" s="5" t="s">
        <v>7393</v>
      </c>
      <c r="U387" s="5" t="s">
        <v>7394</v>
      </c>
      <c r="V387" s="5" t="s">
        <v>7395</v>
      </c>
      <c r="W387" s="5" t="s">
        <v>7396</v>
      </c>
      <c r="X387" s="5" t="s">
        <v>7397</v>
      </c>
      <c r="Y387" s="5" t="s">
        <v>7398</v>
      </c>
      <c r="Z387" s="5" t="s">
        <v>7399</v>
      </c>
      <c r="AA387" s="5" t="s">
        <v>7400</v>
      </c>
      <c r="AB387" s="5" t="s">
        <v>7401</v>
      </c>
      <c r="AC387" s="5" t="s">
        <v>21</v>
      </c>
      <c r="AD387" s="5" t="s">
        <v>21</v>
      </c>
      <c r="AE387" s="5" t="s">
        <v>21</v>
      </c>
      <c r="AF387" s="5">
        <v>23</v>
      </c>
      <c r="AG387" s="5">
        <v>0</v>
      </c>
      <c r="AH387" s="5">
        <v>0</v>
      </c>
      <c r="AI387" s="5">
        <v>4</v>
      </c>
      <c r="AJ387" s="5">
        <v>11</v>
      </c>
      <c r="AK387" s="5" t="s">
        <v>6050</v>
      </c>
      <c r="AL387" s="5" t="s">
        <v>6051</v>
      </c>
      <c r="AM387" s="5" t="s">
        <v>6052</v>
      </c>
      <c r="AN387" s="5" t="s">
        <v>6053</v>
      </c>
      <c r="AO387" s="5" t="s">
        <v>6054</v>
      </c>
      <c r="AP387" s="5" t="s">
        <v>21</v>
      </c>
      <c r="AQ387" s="5" t="s">
        <v>6055</v>
      </c>
      <c r="AR387" s="5" t="s">
        <v>6056</v>
      </c>
      <c r="AS387" s="5" t="s">
        <v>7402</v>
      </c>
      <c r="AT387" s="5">
        <v>2024</v>
      </c>
      <c r="AU387" s="5" t="s">
        <v>21</v>
      </c>
      <c r="AV387" s="5" t="s">
        <v>21</v>
      </c>
      <c r="AW387" s="5" t="s">
        <v>21</v>
      </c>
      <c r="AX387" s="5" t="s">
        <v>21</v>
      </c>
      <c r="AY387" s="5" t="s">
        <v>21</v>
      </c>
      <c r="AZ387" s="5" t="s">
        <v>21</v>
      </c>
      <c r="BA387" s="5" t="s">
        <v>21</v>
      </c>
      <c r="BB387" s="5" t="s">
        <v>21</v>
      </c>
      <c r="BC387" s="5" t="s">
        <v>21</v>
      </c>
      <c r="BD387" s="5" t="s">
        <v>7403</v>
      </c>
      <c r="BE387" s="5" t="str">
        <f>HYPERLINK("http://dx.doi.org/10.1007/s13198-023-02231-5","http://dx.doi.org/10.1007/s13198-023-02231-5")</f>
        <v>http://dx.doi.org/10.1007/s13198-023-02231-5</v>
      </c>
      <c r="BF387" s="5" t="s">
        <v>21</v>
      </c>
      <c r="BG387" s="5" t="s">
        <v>7404</v>
      </c>
      <c r="BH387" s="5">
        <v>11</v>
      </c>
      <c r="BI387" s="5" t="s">
        <v>5973</v>
      </c>
      <c r="BJ387" s="5" t="s">
        <v>1907</v>
      </c>
      <c r="BK387" s="5" t="s">
        <v>934</v>
      </c>
      <c r="BL387" s="5" t="s">
        <v>7405</v>
      </c>
      <c r="BM387" s="5" t="s">
        <v>21</v>
      </c>
      <c r="BN387" s="5" t="s">
        <v>21</v>
      </c>
      <c r="BO387" s="5" t="s">
        <v>21</v>
      </c>
      <c r="BP387" s="5" t="s">
        <v>21</v>
      </c>
      <c r="BQ387" s="5" t="s">
        <v>49</v>
      </c>
      <c r="BR387" s="5" t="s">
        <v>7406</v>
      </c>
      <c r="BS387" s="5" t="str">
        <f>HYPERLINK("https%3A%2F%2Fwww.webofscience.com%2Fwos%2Fwoscc%2Ffull-record%2FWOS:001141896100001","View Full Record in Web of Science")</f>
        <v>View Full Record in Web of Science</v>
      </c>
    </row>
    <row r="388" spans="1:71" x14ac:dyDescent="0.25">
      <c r="A388" t="s">
        <v>19</v>
      </c>
      <c r="B388" s="5" t="s">
        <v>7407</v>
      </c>
      <c r="C388" s="5" t="s">
        <v>21</v>
      </c>
      <c r="D388" s="5" t="s">
        <v>21</v>
      </c>
      <c r="E388" s="5" t="s">
        <v>21</v>
      </c>
      <c r="F388" s="5" t="s">
        <v>7408</v>
      </c>
      <c r="G388" s="5" t="s">
        <v>21</v>
      </c>
      <c r="H388" s="5" t="s">
        <v>21</v>
      </c>
      <c r="I388" s="5" t="s">
        <v>7409</v>
      </c>
      <c r="J388" s="12" t="s">
        <v>3488</v>
      </c>
      <c r="K388" s="5" t="s">
        <v>21</v>
      </c>
      <c r="L388" s="5" t="s">
        <v>21</v>
      </c>
      <c r="M388" s="5" t="s">
        <v>25</v>
      </c>
      <c r="N388" s="5" t="s">
        <v>26</v>
      </c>
      <c r="O388" s="5" t="s">
        <v>21</v>
      </c>
      <c r="P388" s="5" t="s">
        <v>21</v>
      </c>
      <c r="Q388" s="5" t="s">
        <v>21</v>
      </c>
      <c r="R388" s="5" t="s">
        <v>21</v>
      </c>
      <c r="S388" s="5" t="s">
        <v>21</v>
      </c>
      <c r="T388" s="5" t="s">
        <v>7410</v>
      </c>
      <c r="U388" s="5" t="s">
        <v>7411</v>
      </c>
      <c r="V388" s="5" t="s">
        <v>7412</v>
      </c>
      <c r="W388" s="5" t="s">
        <v>7413</v>
      </c>
      <c r="X388" s="5" t="s">
        <v>5030</v>
      </c>
      <c r="Y388" s="5" t="s">
        <v>7414</v>
      </c>
      <c r="Z388" s="5" t="s">
        <v>5032</v>
      </c>
      <c r="AA388" s="5" t="s">
        <v>7415</v>
      </c>
      <c r="AB388" s="5" t="s">
        <v>7416</v>
      </c>
      <c r="AC388" s="5" t="s">
        <v>7417</v>
      </c>
      <c r="AD388" s="5" t="s">
        <v>7417</v>
      </c>
      <c r="AE388" s="5" t="s">
        <v>3987</v>
      </c>
      <c r="AF388" s="5">
        <v>51</v>
      </c>
      <c r="AG388" s="5">
        <v>0</v>
      </c>
      <c r="AH388" s="5">
        <v>0</v>
      </c>
      <c r="AI388" s="5">
        <v>10</v>
      </c>
      <c r="AJ388" s="5">
        <v>16</v>
      </c>
      <c r="AK388" s="5" t="s">
        <v>659</v>
      </c>
      <c r="AL388" s="5" t="s">
        <v>660</v>
      </c>
      <c r="AM388" s="5" t="s">
        <v>661</v>
      </c>
      <c r="AN388" s="5" t="s">
        <v>3498</v>
      </c>
      <c r="AO388" s="5" t="s">
        <v>21</v>
      </c>
      <c r="AP388" s="5" t="s">
        <v>21</v>
      </c>
      <c r="AQ388" s="5" t="s">
        <v>3488</v>
      </c>
      <c r="AR388" s="5" t="s">
        <v>3499</v>
      </c>
      <c r="AS388" s="5" t="s">
        <v>21</v>
      </c>
      <c r="AT388" s="5">
        <v>2024</v>
      </c>
      <c r="AU388" s="5">
        <v>12</v>
      </c>
      <c r="AV388" s="5" t="s">
        <v>21</v>
      </c>
      <c r="AW388" s="5" t="s">
        <v>21</v>
      </c>
      <c r="AX388" s="5" t="s">
        <v>21</v>
      </c>
      <c r="AY388" s="5" t="s">
        <v>21</v>
      </c>
      <c r="AZ388" s="5" t="s">
        <v>21</v>
      </c>
      <c r="BA388" s="5">
        <v>77976</v>
      </c>
      <c r="BB388" s="5">
        <v>77987</v>
      </c>
      <c r="BC388" s="5" t="s">
        <v>21</v>
      </c>
      <c r="BD388" s="5" t="s">
        <v>7418</v>
      </c>
      <c r="BE388" s="5" t="str">
        <f>HYPERLINK("http://dx.doi.org/10.1109/ACCESS.2024.3407114","http://dx.doi.org/10.1109/ACCESS.2024.3407114")</f>
        <v>http://dx.doi.org/10.1109/ACCESS.2024.3407114</v>
      </c>
      <c r="BF388" s="5" t="s">
        <v>21</v>
      </c>
      <c r="BG388" s="5" t="s">
        <v>21</v>
      </c>
      <c r="BH388" s="5">
        <v>12</v>
      </c>
      <c r="BI388" s="5" t="s">
        <v>3501</v>
      </c>
      <c r="BJ388" s="5" t="s">
        <v>524</v>
      </c>
      <c r="BK388" s="5" t="s">
        <v>3502</v>
      </c>
      <c r="BL388" s="5" t="s">
        <v>7419</v>
      </c>
      <c r="BM388" s="5" t="s">
        <v>21</v>
      </c>
      <c r="BN388" s="5" t="s">
        <v>1909</v>
      </c>
      <c r="BO388" s="5" t="s">
        <v>21</v>
      </c>
      <c r="BP388" s="5" t="s">
        <v>21</v>
      </c>
      <c r="BQ388" s="5" t="s">
        <v>49</v>
      </c>
      <c r="BR388" s="5" t="s">
        <v>7420</v>
      </c>
      <c r="BS388" s="5" t="str">
        <f>HYPERLINK("https%3A%2F%2Fwww.webofscience.com%2Fwos%2Fwoscc%2Ffull-record%2FWOS:001239969100001","View Full Record in Web of Science")</f>
        <v>View Full Record in Web of Science</v>
      </c>
    </row>
    <row r="389" spans="1:71" x14ac:dyDescent="0.25">
      <c r="A389" t="s">
        <v>19</v>
      </c>
      <c r="B389" s="5" t="s">
        <v>7421</v>
      </c>
      <c r="C389" s="5" t="s">
        <v>21</v>
      </c>
      <c r="D389" s="5" t="s">
        <v>21</v>
      </c>
      <c r="E389" s="5" t="s">
        <v>21</v>
      </c>
      <c r="F389" s="5" t="s">
        <v>7422</v>
      </c>
      <c r="G389" s="5" t="s">
        <v>21</v>
      </c>
      <c r="H389" s="5" t="s">
        <v>21</v>
      </c>
      <c r="I389" s="5" t="s">
        <v>7423</v>
      </c>
      <c r="J389" s="12" t="s">
        <v>7424</v>
      </c>
      <c r="K389" s="5" t="s">
        <v>21</v>
      </c>
      <c r="L389" s="5" t="s">
        <v>21</v>
      </c>
      <c r="M389" s="5" t="s">
        <v>25</v>
      </c>
      <c r="N389" s="5" t="s">
        <v>26</v>
      </c>
      <c r="O389" s="5" t="s">
        <v>21</v>
      </c>
      <c r="P389" s="5" t="s">
        <v>21</v>
      </c>
      <c r="Q389" s="5" t="s">
        <v>21</v>
      </c>
      <c r="R389" s="5" t="s">
        <v>21</v>
      </c>
      <c r="S389" s="5" t="s">
        <v>21</v>
      </c>
      <c r="T389" s="5" t="s">
        <v>7425</v>
      </c>
      <c r="U389" s="5" t="s">
        <v>7426</v>
      </c>
      <c r="V389" s="5" t="s">
        <v>7427</v>
      </c>
      <c r="W389" s="5" t="s">
        <v>7428</v>
      </c>
      <c r="X389" s="5" t="s">
        <v>7429</v>
      </c>
      <c r="Y389" s="5" t="s">
        <v>7430</v>
      </c>
      <c r="Z389" s="5" t="s">
        <v>7431</v>
      </c>
      <c r="AA389" s="5" t="s">
        <v>21</v>
      </c>
      <c r="AB389" s="5" t="s">
        <v>21</v>
      </c>
      <c r="AC389" s="5" t="s">
        <v>21</v>
      </c>
      <c r="AD389" s="5" t="s">
        <v>21</v>
      </c>
      <c r="AE389" s="5" t="s">
        <v>21</v>
      </c>
      <c r="AF389" s="5">
        <v>41</v>
      </c>
      <c r="AG389" s="5">
        <v>0</v>
      </c>
      <c r="AH389" s="5">
        <v>0</v>
      </c>
      <c r="AI389" s="5">
        <v>3</v>
      </c>
      <c r="AJ389" s="5">
        <v>9</v>
      </c>
      <c r="AK389" s="5" t="s">
        <v>7432</v>
      </c>
      <c r="AL389" s="5" t="s">
        <v>7433</v>
      </c>
      <c r="AM389" s="5" t="s">
        <v>7434</v>
      </c>
      <c r="AN389" s="5" t="s">
        <v>7435</v>
      </c>
      <c r="AO389" s="5" t="s">
        <v>7436</v>
      </c>
      <c r="AP389" s="5" t="s">
        <v>21</v>
      </c>
      <c r="AQ389" s="5" t="s">
        <v>7437</v>
      </c>
      <c r="AR389" s="5" t="s">
        <v>7438</v>
      </c>
      <c r="AS389" s="5" t="s">
        <v>21</v>
      </c>
      <c r="AT389" s="5">
        <v>2024</v>
      </c>
      <c r="AU389" s="5">
        <v>18</v>
      </c>
      <c r="AV389" s="5">
        <v>1</v>
      </c>
      <c r="AW389" s="5" t="s">
        <v>21</v>
      </c>
      <c r="AX389" s="5" t="s">
        <v>21</v>
      </c>
      <c r="AY389" s="5" t="s">
        <v>21</v>
      </c>
      <c r="AZ389" s="5" t="s">
        <v>21</v>
      </c>
      <c r="BA389" s="5" t="s">
        <v>21</v>
      </c>
      <c r="BB389" s="5" t="s">
        <v>21</v>
      </c>
      <c r="BC389" s="5" t="s">
        <v>21</v>
      </c>
      <c r="BD389" s="5" t="s">
        <v>7439</v>
      </c>
      <c r="BE389" s="5" t="str">
        <f>HYPERLINK("http://dx.doi.org/10.1504/IJMLO.2024.135121","http://dx.doi.org/10.1504/IJMLO.2024.135121")</f>
        <v>http://dx.doi.org/10.1504/IJMLO.2024.135121</v>
      </c>
      <c r="BF389" s="5" t="s">
        <v>21</v>
      </c>
      <c r="BG389" s="5" t="s">
        <v>21</v>
      </c>
      <c r="BH389" s="5">
        <v>28</v>
      </c>
      <c r="BI389" s="5" t="s">
        <v>292</v>
      </c>
      <c r="BJ389" s="5" t="s">
        <v>1907</v>
      </c>
      <c r="BK389" s="5" t="s">
        <v>293</v>
      </c>
      <c r="BL389" s="5" t="s">
        <v>7440</v>
      </c>
      <c r="BM389" s="5" t="s">
        <v>21</v>
      </c>
      <c r="BN389" s="5" t="s">
        <v>21</v>
      </c>
      <c r="BO389" s="5" t="s">
        <v>21</v>
      </c>
      <c r="BP389" s="5" t="s">
        <v>21</v>
      </c>
      <c r="BQ389" s="5" t="s">
        <v>49</v>
      </c>
      <c r="BR389" s="5" t="s">
        <v>7441</v>
      </c>
      <c r="BS389" s="5" t="str">
        <f>HYPERLINK("https%3A%2F%2Fwww.webofscience.com%2Fwos%2Fwoscc%2Ffull-record%2FWOS:001207673100003","View Full Record in Web of Science")</f>
        <v>View Full Record in Web of Science</v>
      </c>
    </row>
    <row r="390" spans="1:71" x14ac:dyDescent="0.25">
      <c r="A390" t="s">
        <v>19</v>
      </c>
      <c r="B390" s="5" t="s">
        <v>7442</v>
      </c>
      <c r="C390" s="5" t="s">
        <v>21</v>
      </c>
      <c r="D390" s="5" t="s">
        <v>21</v>
      </c>
      <c r="E390" s="5" t="s">
        <v>21</v>
      </c>
      <c r="F390" s="5" t="s">
        <v>7443</v>
      </c>
      <c r="G390" s="5" t="s">
        <v>21</v>
      </c>
      <c r="H390" s="5" t="s">
        <v>21</v>
      </c>
      <c r="I390" s="5" t="s">
        <v>7444</v>
      </c>
      <c r="J390" s="12" t="s">
        <v>7445</v>
      </c>
      <c r="K390" s="5" t="s">
        <v>21</v>
      </c>
      <c r="L390" s="5" t="s">
        <v>21</v>
      </c>
      <c r="M390" s="5" t="s">
        <v>25</v>
      </c>
      <c r="N390" s="5" t="s">
        <v>26</v>
      </c>
      <c r="O390" s="5" t="s">
        <v>21</v>
      </c>
      <c r="P390" s="5" t="s">
        <v>21</v>
      </c>
      <c r="Q390" s="5" t="s">
        <v>21</v>
      </c>
      <c r="R390" s="5" t="s">
        <v>21</v>
      </c>
      <c r="S390" s="5" t="s">
        <v>21</v>
      </c>
      <c r="T390" s="5" t="s">
        <v>7446</v>
      </c>
      <c r="U390" s="5" t="s">
        <v>7447</v>
      </c>
      <c r="V390" s="5" t="s">
        <v>7448</v>
      </c>
      <c r="W390" s="5" t="s">
        <v>7449</v>
      </c>
      <c r="X390" s="5" t="s">
        <v>7450</v>
      </c>
      <c r="Y390" s="5" t="s">
        <v>7451</v>
      </c>
      <c r="Z390" s="5" t="s">
        <v>7452</v>
      </c>
      <c r="AA390" s="5" t="s">
        <v>21</v>
      </c>
      <c r="AB390" s="5" t="s">
        <v>21</v>
      </c>
      <c r="AC390" s="5" t="s">
        <v>7453</v>
      </c>
      <c r="AD390" s="5" t="s">
        <v>7454</v>
      </c>
      <c r="AE390" s="5" t="s">
        <v>7455</v>
      </c>
      <c r="AF390" s="5">
        <v>51</v>
      </c>
      <c r="AG390" s="5">
        <v>0</v>
      </c>
      <c r="AH390" s="5">
        <v>0</v>
      </c>
      <c r="AI390" s="5">
        <v>1</v>
      </c>
      <c r="AJ390" s="5">
        <v>2</v>
      </c>
      <c r="AK390" s="5" t="s">
        <v>7456</v>
      </c>
      <c r="AL390" s="5" t="s">
        <v>7457</v>
      </c>
      <c r="AM390" s="5" t="s">
        <v>7458</v>
      </c>
      <c r="AN390" s="5" t="s">
        <v>7459</v>
      </c>
      <c r="AO390" s="5" t="s">
        <v>7460</v>
      </c>
      <c r="AP390" s="5" t="s">
        <v>21</v>
      </c>
      <c r="AQ390" s="5" t="s">
        <v>7461</v>
      </c>
      <c r="AR390" s="5" t="s">
        <v>7462</v>
      </c>
      <c r="AS390" s="5" t="s">
        <v>7463</v>
      </c>
      <c r="AT390" s="5">
        <v>2024</v>
      </c>
      <c r="AU390" s="5">
        <v>13</v>
      </c>
      <c r="AV390" s="5">
        <v>1</v>
      </c>
      <c r="AW390" s="5" t="s">
        <v>21</v>
      </c>
      <c r="AX390" s="5" t="s">
        <v>21</v>
      </c>
      <c r="AY390" s="5" t="s">
        <v>21</v>
      </c>
      <c r="AZ390" s="5" t="s">
        <v>21</v>
      </c>
      <c r="BA390" s="5">
        <v>135</v>
      </c>
      <c r="BB390" s="5">
        <v>154</v>
      </c>
      <c r="BC390" s="5" t="s">
        <v>21</v>
      </c>
      <c r="BD390" s="5" t="s">
        <v>21</v>
      </c>
      <c r="BE390" s="5" t="s">
        <v>21</v>
      </c>
      <c r="BF390" s="5" t="s">
        <v>21</v>
      </c>
      <c r="BG390" s="5" t="s">
        <v>21</v>
      </c>
      <c r="BH390" s="5">
        <v>20</v>
      </c>
      <c r="BI390" s="5" t="s">
        <v>7464</v>
      </c>
      <c r="BJ390" s="5" t="s">
        <v>1907</v>
      </c>
      <c r="BK390" s="5" t="s">
        <v>7464</v>
      </c>
      <c r="BL390" s="5" t="s">
        <v>7465</v>
      </c>
      <c r="BM390" s="5" t="s">
        <v>21</v>
      </c>
      <c r="BN390" s="5" t="s">
        <v>21</v>
      </c>
      <c r="BO390" s="5" t="s">
        <v>21</v>
      </c>
      <c r="BP390" s="5" t="s">
        <v>21</v>
      </c>
      <c r="BQ390" s="5" t="s">
        <v>49</v>
      </c>
      <c r="BR390" s="5" t="s">
        <v>7466</v>
      </c>
      <c r="BS390" s="5" t="str">
        <f>HYPERLINK("https%3A%2F%2Fwww.webofscience.com%2Fwos%2Fwoscc%2Ffull-record%2FWOS:001261783900009","View Full Record in Web of Science")</f>
        <v>View Full Record in Web of Science</v>
      </c>
    </row>
    <row r="391" spans="1:71" x14ac:dyDescent="0.25">
      <c r="A391" t="s">
        <v>19</v>
      </c>
      <c r="B391" s="5" t="s">
        <v>7467</v>
      </c>
      <c r="C391" s="5" t="s">
        <v>21</v>
      </c>
      <c r="D391" s="5" t="s">
        <v>21</v>
      </c>
      <c r="E391" s="5" t="s">
        <v>21</v>
      </c>
      <c r="F391" s="5" t="s">
        <v>7468</v>
      </c>
      <c r="G391" s="5" t="s">
        <v>21</v>
      </c>
      <c r="H391" s="5" t="s">
        <v>21</v>
      </c>
      <c r="I391" s="5" t="s">
        <v>7469</v>
      </c>
      <c r="J391" s="12" t="s">
        <v>3488</v>
      </c>
      <c r="K391" s="5" t="s">
        <v>21</v>
      </c>
      <c r="L391" s="5" t="s">
        <v>21</v>
      </c>
      <c r="M391" s="5" t="s">
        <v>25</v>
      </c>
      <c r="N391" s="5" t="s">
        <v>26</v>
      </c>
      <c r="O391" s="5" t="s">
        <v>21</v>
      </c>
      <c r="P391" s="5" t="s">
        <v>21</v>
      </c>
      <c r="Q391" s="5" t="s">
        <v>21</v>
      </c>
      <c r="R391" s="5" t="s">
        <v>21</v>
      </c>
      <c r="S391" s="5" t="s">
        <v>21</v>
      </c>
      <c r="T391" s="5" t="s">
        <v>7470</v>
      </c>
      <c r="U391" s="5" t="s">
        <v>7471</v>
      </c>
      <c r="V391" s="5" t="s">
        <v>7472</v>
      </c>
      <c r="W391" s="5" t="s">
        <v>7473</v>
      </c>
      <c r="X391" s="5" t="s">
        <v>7474</v>
      </c>
      <c r="Y391" s="5" t="s">
        <v>7475</v>
      </c>
      <c r="Z391" s="5" t="s">
        <v>7476</v>
      </c>
      <c r="AA391" s="5" t="s">
        <v>7477</v>
      </c>
      <c r="AB391" s="5" t="s">
        <v>7478</v>
      </c>
      <c r="AC391" s="5" t="s">
        <v>7479</v>
      </c>
      <c r="AD391" s="5" t="s">
        <v>7479</v>
      </c>
      <c r="AE391" s="5" t="s">
        <v>3987</v>
      </c>
      <c r="AF391" s="5">
        <v>75</v>
      </c>
      <c r="AG391" s="5">
        <v>0</v>
      </c>
      <c r="AH391" s="5">
        <v>0</v>
      </c>
      <c r="AI391" s="5">
        <v>1</v>
      </c>
      <c r="AJ391" s="5">
        <v>6</v>
      </c>
      <c r="AK391" s="5" t="s">
        <v>659</v>
      </c>
      <c r="AL391" s="5" t="s">
        <v>660</v>
      </c>
      <c r="AM391" s="5" t="s">
        <v>661</v>
      </c>
      <c r="AN391" s="5" t="s">
        <v>3498</v>
      </c>
      <c r="AO391" s="5" t="s">
        <v>21</v>
      </c>
      <c r="AP391" s="5" t="s">
        <v>21</v>
      </c>
      <c r="AQ391" s="5" t="s">
        <v>3488</v>
      </c>
      <c r="AR391" s="5" t="s">
        <v>3499</v>
      </c>
      <c r="AS391" s="5" t="s">
        <v>21</v>
      </c>
      <c r="AT391" s="5">
        <v>2024</v>
      </c>
      <c r="AU391" s="5">
        <v>12</v>
      </c>
      <c r="AV391" s="5" t="s">
        <v>21</v>
      </c>
      <c r="AW391" s="5" t="s">
        <v>21</v>
      </c>
      <c r="AX391" s="5" t="s">
        <v>21</v>
      </c>
      <c r="AY391" s="5" t="s">
        <v>21</v>
      </c>
      <c r="AZ391" s="5" t="s">
        <v>21</v>
      </c>
      <c r="BA391" s="5">
        <v>64599</v>
      </c>
      <c r="BB391" s="5">
        <v>64621</v>
      </c>
      <c r="BC391" s="5" t="s">
        <v>21</v>
      </c>
      <c r="BD391" s="5" t="s">
        <v>7480</v>
      </c>
      <c r="BE391" s="5" t="str">
        <f>HYPERLINK("http://dx.doi.org/10.1109/ACCESS.2024.3397076","http://dx.doi.org/10.1109/ACCESS.2024.3397076")</f>
        <v>http://dx.doi.org/10.1109/ACCESS.2024.3397076</v>
      </c>
      <c r="BF391" s="5" t="s">
        <v>21</v>
      </c>
      <c r="BG391" s="5" t="s">
        <v>21</v>
      </c>
      <c r="BH391" s="5">
        <v>23</v>
      </c>
      <c r="BI391" s="5" t="s">
        <v>3501</v>
      </c>
      <c r="BJ391" s="5" t="s">
        <v>524</v>
      </c>
      <c r="BK391" s="5" t="s">
        <v>3502</v>
      </c>
      <c r="BL391" s="5" t="s">
        <v>7481</v>
      </c>
      <c r="BM391" s="5" t="s">
        <v>21</v>
      </c>
      <c r="BN391" s="5" t="s">
        <v>1909</v>
      </c>
      <c r="BO391" s="5" t="s">
        <v>21</v>
      </c>
      <c r="BP391" s="5" t="s">
        <v>21</v>
      </c>
      <c r="BQ391" s="5" t="s">
        <v>49</v>
      </c>
      <c r="BR391" s="5" t="s">
        <v>7482</v>
      </c>
      <c r="BS391" s="5" t="str">
        <f>HYPERLINK("https%3A%2F%2Fwww.webofscience.com%2Fwos%2Fwoscc%2Ffull-record%2FWOS:001218489400001","View Full Record in Web of Science")</f>
        <v>View Full Record in Web of Science</v>
      </c>
    </row>
    <row r="392" spans="1:71" x14ac:dyDescent="0.25">
      <c r="A392" t="s">
        <v>19</v>
      </c>
      <c r="B392" s="5" t="s">
        <v>7483</v>
      </c>
      <c r="C392" s="5" t="s">
        <v>21</v>
      </c>
      <c r="D392" s="5" t="s">
        <v>21</v>
      </c>
      <c r="E392" s="5" t="s">
        <v>21</v>
      </c>
      <c r="F392" s="5" t="s">
        <v>7484</v>
      </c>
      <c r="G392" s="5" t="s">
        <v>21</v>
      </c>
      <c r="H392" s="5" t="s">
        <v>21</v>
      </c>
      <c r="I392" s="5" t="s">
        <v>7485</v>
      </c>
      <c r="J392" s="12" t="s">
        <v>7486</v>
      </c>
      <c r="K392" s="5" t="s">
        <v>21</v>
      </c>
      <c r="L392" s="5" t="s">
        <v>21</v>
      </c>
      <c r="M392" s="5" t="s">
        <v>25</v>
      </c>
      <c r="N392" s="5" t="s">
        <v>76</v>
      </c>
      <c r="O392" s="5" t="s">
        <v>21</v>
      </c>
      <c r="P392" s="5" t="s">
        <v>21</v>
      </c>
      <c r="Q392" s="5" t="s">
        <v>21</v>
      </c>
      <c r="R392" s="5" t="s">
        <v>21</v>
      </c>
      <c r="S392" s="5" t="s">
        <v>21</v>
      </c>
      <c r="T392" s="5" t="s">
        <v>7487</v>
      </c>
      <c r="U392" s="5" t="s">
        <v>7488</v>
      </c>
      <c r="V392" s="5" t="s">
        <v>7489</v>
      </c>
      <c r="W392" s="5" t="s">
        <v>7490</v>
      </c>
      <c r="X392" s="5" t="s">
        <v>7491</v>
      </c>
      <c r="Y392" s="5" t="s">
        <v>7492</v>
      </c>
      <c r="Z392" s="5" t="s">
        <v>7493</v>
      </c>
      <c r="AA392" s="5" t="s">
        <v>21</v>
      </c>
      <c r="AB392" s="5" t="s">
        <v>21</v>
      </c>
      <c r="AC392" s="5" t="s">
        <v>21</v>
      </c>
      <c r="AD392" s="5" t="s">
        <v>21</v>
      </c>
      <c r="AE392" s="5" t="s">
        <v>21</v>
      </c>
      <c r="AF392" s="5">
        <v>75</v>
      </c>
      <c r="AG392" s="5">
        <v>0</v>
      </c>
      <c r="AH392" s="5">
        <v>0</v>
      </c>
      <c r="AI392" s="5">
        <v>7</v>
      </c>
      <c r="AJ392" s="5">
        <v>8</v>
      </c>
      <c r="AK392" s="5" t="s">
        <v>7494</v>
      </c>
      <c r="AL392" s="5" t="s">
        <v>7495</v>
      </c>
      <c r="AM392" s="5" t="s">
        <v>7496</v>
      </c>
      <c r="AN392" s="5" t="s">
        <v>7497</v>
      </c>
      <c r="AO392" s="5" t="s">
        <v>7498</v>
      </c>
      <c r="AP392" s="5" t="s">
        <v>21</v>
      </c>
      <c r="AQ392" s="5" t="s">
        <v>7499</v>
      </c>
      <c r="AR392" s="5" t="s">
        <v>7500</v>
      </c>
      <c r="AS392" s="5" t="s">
        <v>21</v>
      </c>
      <c r="AT392" s="5">
        <v>2024</v>
      </c>
      <c r="AU392" s="5">
        <v>93</v>
      </c>
      <c r="AV392" s="5">
        <v>2</v>
      </c>
      <c r="AW392" s="5" t="s">
        <v>21</v>
      </c>
      <c r="AX392" s="5" t="s">
        <v>21</v>
      </c>
      <c r="AY392" s="5" t="s">
        <v>21</v>
      </c>
      <c r="AZ392" s="5" t="s">
        <v>21</v>
      </c>
      <c r="BA392" s="5" t="s">
        <v>21</v>
      </c>
      <c r="BB392" s="5" t="s">
        <v>21</v>
      </c>
      <c r="BC392" s="5" t="s">
        <v>21</v>
      </c>
      <c r="BD392" s="5" t="s">
        <v>7501</v>
      </c>
      <c r="BE392" s="5" t="str">
        <f>HYPERLINK("http://dx.doi.org/10.20883/medical.e931","http://dx.doi.org/10.20883/medical.e931")</f>
        <v>http://dx.doi.org/10.20883/medical.e931</v>
      </c>
      <c r="BF392" s="5" t="s">
        <v>21</v>
      </c>
      <c r="BG392" s="5" t="s">
        <v>21</v>
      </c>
      <c r="BH392" s="5">
        <v>84</v>
      </c>
      <c r="BI392" s="5" t="s">
        <v>7502</v>
      </c>
      <c r="BJ392" s="5" t="s">
        <v>1907</v>
      </c>
      <c r="BK392" s="5" t="s">
        <v>7503</v>
      </c>
      <c r="BL392" s="5" t="s">
        <v>7504</v>
      </c>
      <c r="BM392" s="5" t="s">
        <v>21</v>
      </c>
      <c r="BN392" s="5" t="s">
        <v>1909</v>
      </c>
      <c r="BO392" s="5" t="s">
        <v>21</v>
      </c>
      <c r="BP392" s="5" t="s">
        <v>21</v>
      </c>
      <c r="BQ392" s="5" t="s">
        <v>49</v>
      </c>
      <c r="BR392" s="5" t="s">
        <v>7505</v>
      </c>
      <c r="BS392" s="5" t="str">
        <f>HYPERLINK("https%3A%2F%2Fwww.webofscience.com%2Fwos%2Fwoscc%2Ffull-record%2FWOS:001305510200008","View Full Record in Web of Science")</f>
        <v>View Full Record in Web of Science</v>
      </c>
    </row>
    <row r="393" spans="1:71" x14ac:dyDescent="0.25">
      <c r="A393" t="s">
        <v>19</v>
      </c>
      <c r="B393" s="5" t="s">
        <v>7506</v>
      </c>
      <c r="C393" s="5" t="s">
        <v>21</v>
      </c>
      <c r="D393" s="5" t="s">
        <v>21</v>
      </c>
      <c r="E393" s="5" t="s">
        <v>21</v>
      </c>
      <c r="F393" s="5" t="s">
        <v>7507</v>
      </c>
      <c r="G393" s="5" t="s">
        <v>21</v>
      </c>
      <c r="H393" s="5" t="s">
        <v>21</v>
      </c>
      <c r="I393" s="5" t="s">
        <v>7508</v>
      </c>
      <c r="J393" s="12" t="s">
        <v>3488</v>
      </c>
      <c r="K393" s="5" t="s">
        <v>21</v>
      </c>
      <c r="L393" s="5" t="s">
        <v>21</v>
      </c>
      <c r="M393" s="5" t="s">
        <v>25</v>
      </c>
      <c r="N393" s="5" t="s">
        <v>76</v>
      </c>
      <c r="O393" s="5" t="s">
        <v>21</v>
      </c>
      <c r="P393" s="5" t="s">
        <v>21</v>
      </c>
      <c r="Q393" s="5" t="s">
        <v>21</v>
      </c>
      <c r="R393" s="5" t="s">
        <v>21</v>
      </c>
      <c r="S393" s="5" t="s">
        <v>21</v>
      </c>
      <c r="T393" s="5" t="s">
        <v>7509</v>
      </c>
      <c r="U393" s="5" t="s">
        <v>7510</v>
      </c>
      <c r="V393" s="5" t="s">
        <v>7511</v>
      </c>
      <c r="W393" s="5" t="s">
        <v>7512</v>
      </c>
      <c r="X393" s="5" t="s">
        <v>7513</v>
      </c>
      <c r="Y393" s="5" t="s">
        <v>7514</v>
      </c>
      <c r="Z393" s="5" t="s">
        <v>7515</v>
      </c>
      <c r="AA393" s="5" t="s">
        <v>7516</v>
      </c>
      <c r="AB393" s="5" t="s">
        <v>7517</v>
      </c>
      <c r="AC393" s="5" t="s">
        <v>7518</v>
      </c>
      <c r="AD393" s="5" t="s">
        <v>7518</v>
      </c>
      <c r="AE393" s="5" t="s">
        <v>7519</v>
      </c>
      <c r="AF393" s="5">
        <v>69</v>
      </c>
      <c r="AG393" s="5">
        <v>0</v>
      </c>
      <c r="AH393" s="5">
        <v>0</v>
      </c>
      <c r="AI393" s="5">
        <v>20</v>
      </c>
      <c r="AJ393" s="5">
        <v>30</v>
      </c>
      <c r="AK393" s="5" t="s">
        <v>659</v>
      </c>
      <c r="AL393" s="5" t="s">
        <v>660</v>
      </c>
      <c r="AM393" s="5" t="s">
        <v>661</v>
      </c>
      <c r="AN393" s="5" t="s">
        <v>3498</v>
      </c>
      <c r="AO393" s="5" t="s">
        <v>21</v>
      </c>
      <c r="AP393" s="5" t="s">
        <v>21</v>
      </c>
      <c r="AQ393" s="5" t="s">
        <v>3488</v>
      </c>
      <c r="AR393" s="5" t="s">
        <v>3499</v>
      </c>
      <c r="AS393" s="5" t="s">
        <v>21</v>
      </c>
      <c r="AT393" s="5">
        <v>2024</v>
      </c>
      <c r="AU393" s="5">
        <v>12</v>
      </c>
      <c r="AV393" s="5" t="s">
        <v>21</v>
      </c>
      <c r="AW393" s="5" t="s">
        <v>21</v>
      </c>
      <c r="AX393" s="5" t="s">
        <v>21</v>
      </c>
      <c r="AY393" s="5" t="s">
        <v>21</v>
      </c>
      <c r="AZ393" s="5" t="s">
        <v>21</v>
      </c>
      <c r="BA393" s="5">
        <v>108953</v>
      </c>
      <c r="BB393" s="5">
        <v>108974</v>
      </c>
      <c r="BC393" s="5" t="s">
        <v>21</v>
      </c>
      <c r="BD393" s="5" t="s">
        <v>7520</v>
      </c>
      <c r="BE393" s="5" t="str">
        <f>HYPERLINK("http://dx.doi.org/10.1109/ACCESS.2024.3438361","http://dx.doi.org/10.1109/ACCESS.2024.3438361")</f>
        <v>http://dx.doi.org/10.1109/ACCESS.2024.3438361</v>
      </c>
      <c r="BF393" s="5" t="s">
        <v>21</v>
      </c>
      <c r="BG393" s="5" t="s">
        <v>21</v>
      </c>
      <c r="BH393" s="5">
        <v>22</v>
      </c>
      <c r="BI393" s="5" t="s">
        <v>3501</v>
      </c>
      <c r="BJ393" s="5" t="s">
        <v>524</v>
      </c>
      <c r="BK393" s="5" t="s">
        <v>3502</v>
      </c>
      <c r="BL393" s="5" t="s">
        <v>7521</v>
      </c>
      <c r="BM393" s="5" t="s">
        <v>21</v>
      </c>
      <c r="BN393" s="5" t="s">
        <v>1909</v>
      </c>
      <c r="BO393" s="5" t="s">
        <v>21</v>
      </c>
      <c r="BP393" s="5" t="s">
        <v>21</v>
      </c>
      <c r="BQ393" s="5" t="s">
        <v>49</v>
      </c>
      <c r="BR393" s="5" t="s">
        <v>7522</v>
      </c>
      <c r="BS393" s="5" t="str">
        <f>HYPERLINK("https%3A%2F%2Fwww.webofscience.com%2Fwos%2Fwoscc%2Ffull-record%2FWOS:001291885800001","View Full Record in Web of Science")</f>
        <v>View Full Record in Web of Science</v>
      </c>
    </row>
    <row r="394" spans="1:71" x14ac:dyDescent="0.25">
      <c r="A394" t="s">
        <v>19</v>
      </c>
      <c r="B394" s="5" t="s">
        <v>7523</v>
      </c>
      <c r="C394" s="5" t="s">
        <v>21</v>
      </c>
      <c r="D394" s="5" t="s">
        <v>21</v>
      </c>
      <c r="E394" s="5" t="s">
        <v>21</v>
      </c>
      <c r="F394" s="5" t="s">
        <v>7524</v>
      </c>
      <c r="G394" s="5" t="s">
        <v>21</v>
      </c>
      <c r="H394" s="5" t="s">
        <v>21</v>
      </c>
      <c r="I394" s="5" t="s">
        <v>7525</v>
      </c>
      <c r="J394" s="12" t="s">
        <v>2798</v>
      </c>
      <c r="K394" s="5" t="s">
        <v>21</v>
      </c>
      <c r="L394" s="5" t="s">
        <v>21</v>
      </c>
      <c r="M394" s="5" t="s">
        <v>25</v>
      </c>
      <c r="N394" s="5" t="s">
        <v>26</v>
      </c>
      <c r="O394" s="5" t="s">
        <v>21</v>
      </c>
      <c r="P394" s="5" t="s">
        <v>21</v>
      </c>
      <c r="Q394" s="5" t="s">
        <v>21</v>
      </c>
      <c r="R394" s="5" t="s">
        <v>21</v>
      </c>
      <c r="S394" s="5" t="s">
        <v>21</v>
      </c>
      <c r="T394" s="5" t="s">
        <v>7526</v>
      </c>
      <c r="U394" s="5" t="s">
        <v>7527</v>
      </c>
      <c r="V394" s="5" t="s">
        <v>7528</v>
      </c>
      <c r="W394" s="5" t="s">
        <v>7529</v>
      </c>
      <c r="X394" s="5" t="s">
        <v>21</v>
      </c>
      <c r="Y394" s="5" t="s">
        <v>7530</v>
      </c>
      <c r="Z394" s="5" t="s">
        <v>7531</v>
      </c>
      <c r="AA394" s="5" t="s">
        <v>21</v>
      </c>
      <c r="AB394" s="5" t="s">
        <v>21</v>
      </c>
      <c r="AC394" s="5" t="s">
        <v>7532</v>
      </c>
      <c r="AD394" s="5" t="s">
        <v>7533</v>
      </c>
      <c r="AE394" s="5" t="s">
        <v>7534</v>
      </c>
      <c r="AF394" s="5">
        <v>32</v>
      </c>
      <c r="AG394" s="5">
        <v>0</v>
      </c>
      <c r="AH394" s="5">
        <v>0</v>
      </c>
      <c r="AI394" s="5">
        <v>0</v>
      </c>
      <c r="AJ394" s="5">
        <v>7</v>
      </c>
      <c r="AK394" s="5" t="s">
        <v>153</v>
      </c>
      <c r="AL394" s="5" t="s">
        <v>154</v>
      </c>
      <c r="AM394" s="5" t="s">
        <v>155</v>
      </c>
      <c r="AN394" s="5" t="s">
        <v>21</v>
      </c>
      <c r="AO394" s="5" t="s">
        <v>2805</v>
      </c>
      <c r="AP394" s="5" t="s">
        <v>21</v>
      </c>
      <c r="AQ394" s="5" t="s">
        <v>2806</v>
      </c>
      <c r="AR394" s="5" t="s">
        <v>2807</v>
      </c>
      <c r="AS394" s="5" t="s">
        <v>7535</v>
      </c>
      <c r="AT394" s="5">
        <v>2023</v>
      </c>
      <c r="AU394" s="5">
        <v>4</v>
      </c>
      <c r="AV394" s="5" t="s">
        <v>21</v>
      </c>
      <c r="AW394" s="5" t="s">
        <v>21</v>
      </c>
      <c r="AX394" s="5" t="s">
        <v>21</v>
      </c>
      <c r="AY394" s="5" t="s">
        <v>21</v>
      </c>
      <c r="AZ394" s="5" t="s">
        <v>21</v>
      </c>
      <c r="BA394" s="5" t="s">
        <v>21</v>
      </c>
      <c r="BB394" s="5" t="s">
        <v>21</v>
      </c>
      <c r="BC394" s="5">
        <v>1291516</v>
      </c>
      <c r="BD394" s="5" t="s">
        <v>7536</v>
      </c>
      <c r="BE394" s="5" t="str">
        <f>HYPERLINK("http://dx.doi.org/10.3389/frvir.2023.1291516","http://dx.doi.org/10.3389/frvir.2023.1291516")</f>
        <v>http://dx.doi.org/10.3389/frvir.2023.1291516</v>
      </c>
      <c r="BF394" s="5" t="s">
        <v>21</v>
      </c>
      <c r="BG394" s="5" t="s">
        <v>21</v>
      </c>
      <c r="BH394" s="5">
        <v>9</v>
      </c>
      <c r="BI394" s="5" t="s">
        <v>784</v>
      </c>
      <c r="BJ394" s="5" t="s">
        <v>1907</v>
      </c>
      <c r="BK394" s="5" t="s">
        <v>715</v>
      </c>
      <c r="BL394" s="5" t="s">
        <v>7537</v>
      </c>
      <c r="BM394" s="5" t="s">
        <v>21</v>
      </c>
      <c r="BN394" s="5" t="s">
        <v>1909</v>
      </c>
      <c r="BO394" s="5" t="s">
        <v>21</v>
      </c>
      <c r="BP394" s="5" t="s">
        <v>21</v>
      </c>
      <c r="BQ394" s="5" t="s">
        <v>49</v>
      </c>
      <c r="BR394" s="5" t="s">
        <v>7538</v>
      </c>
      <c r="BS394" s="5" t="str">
        <f>HYPERLINK("https%3A%2F%2Fwww.webofscience.com%2Fwos%2Fwoscc%2Ffull-record%2FWOS:001123229700001","View Full Record in Web of Science")</f>
        <v>View Full Record in Web of Science</v>
      </c>
    </row>
    <row r="395" spans="1:71" x14ac:dyDescent="0.25">
      <c r="A395" t="s">
        <v>19</v>
      </c>
      <c r="B395" s="5" t="s">
        <v>7539</v>
      </c>
      <c r="C395" s="5" t="s">
        <v>21</v>
      </c>
      <c r="D395" s="5" t="s">
        <v>21</v>
      </c>
      <c r="E395" s="5" t="s">
        <v>21</v>
      </c>
      <c r="F395" s="5" t="s">
        <v>7540</v>
      </c>
      <c r="G395" s="5" t="s">
        <v>21</v>
      </c>
      <c r="H395" s="5" t="s">
        <v>21</v>
      </c>
      <c r="I395" s="5" t="s">
        <v>7541</v>
      </c>
      <c r="J395" s="12" t="s">
        <v>7542</v>
      </c>
      <c r="K395" s="5" t="s">
        <v>21</v>
      </c>
      <c r="L395" s="5" t="s">
        <v>21</v>
      </c>
      <c r="M395" s="5" t="s">
        <v>5613</v>
      </c>
      <c r="N395" s="5" t="s">
        <v>26</v>
      </c>
      <c r="O395" s="5" t="s">
        <v>21</v>
      </c>
      <c r="P395" s="5" t="s">
        <v>21</v>
      </c>
      <c r="Q395" s="5" t="s">
        <v>21</v>
      </c>
      <c r="R395" s="5" t="s">
        <v>21</v>
      </c>
      <c r="S395" s="5" t="s">
        <v>21</v>
      </c>
      <c r="T395" s="5" t="s">
        <v>7543</v>
      </c>
      <c r="U395" s="5" t="s">
        <v>7544</v>
      </c>
      <c r="V395" s="5" t="s">
        <v>7545</v>
      </c>
      <c r="W395" s="5" t="s">
        <v>7546</v>
      </c>
      <c r="X395" s="5" t="s">
        <v>7547</v>
      </c>
      <c r="Y395" s="5" t="s">
        <v>7548</v>
      </c>
      <c r="Z395" s="5" t="s">
        <v>7549</v>
      </c>
      <c r="AA395" s="5" t="s">
        <v>7550</v>
      </c>
      <c r="AB395" s="5" t="s">
        <v>21</v>
      </c>
      <c r="AC395" s="5" t="s">
        <v>7551</v>
      </c>
      <c r="AD395" s="5" t="s">
        <v>7551</v>
      </c>
      <c r="AE395" s="5" t="s">
        <v>7552</v>
      </c>
      <c r="AF395" s="5">
        <v>26</v>
      </c>
      <c r="AG395" s="5">
        <v>0</v>
      </c>
      <c r="AH395" s="5">
        <v>0</v>
      </c>
      <c r="AI395" s="5">
        <v>7</v>
      </c>
      <c r="AJ395" s="5">
        <v>25</v>
      </c>
      <c r="AK395" s="5" t="s">
        <v>2726</v>
      </c>
      <c r="AL395" s="5" t="s">
        <v>2727</v>
      </c>
      <c r="AM395" s="5" t="s">
        <v>2728</v>
      </c>
      <c r="AN395" s="5" t="s">
        <v>7553</v>
      </c>
      <c r="AO395" s="5" t="s">
        <v>7554</v>
      </c>
      <c r="AP395" s="5" t="s">
        <v>21</v>
      </c>
      <c r="AQ395" s="5" t="s">
        <v>7555</v>
      </c>
      <c r="AR395" s="5" t="s">
        <v>7556</v>
      </c>
      <c r="AS395" s="5" t="s">
        <v>89</v>
      </c>
      <c r="AT395" s="5">
        <v>2023</v>
      </c>
      <c r="AU395" s="5">
        <v>58</v>
      </c>
      <c r="AV395" s="5" t="s">
        <v>7557</v>
      </c>
      <c r="AW395" s="5" t="s">
        <v>21</v>
      </c>
      <c r="AX395" s="5">
        <v>2</v>
      </c>
      <c r="AY395" s="5" t="s">
        <v>501</v>
      </c>
      <c r="AZ395" s="5" t="s">
        <v>21</v>
      </c>
      <c r="BA395" s="5">
        <v>130</v>
      </c>
      <c r="BB395" s="5">
        <v>133</v>
      </c>
      <c r="BC395" s="5" t="s">
        <v>21</v>
      </c>
      <c r="BD395" s="5" t="s">
        <v>7558</v>
      </c>
      <c r="BE395" s="5" t="str">
        <f>HYPERLINK("http://dx.doi.org/10.1007/s00608-023-01112-1","http://dx.doi.org/10.1007/s00608-023-01112-1")</f>
        <v>http://dx.doi.org/10.1007/s00608-023-01112-1</v>
      </c>
      <c r="BF395" s="5" t="s">
        <v>21</v>
      </c>
      <c r="BG395" s="5" t="s">
        <v>7559</v>
      </c>
      <c r="BH395" s="5">
        <v>4</v>
      </c>
      <c r="BI395" s="5" t="s">
        <v>1417</v>
      </c>
      <c r="BJ395" s="5" t="s">
        <v>1907</v>
      </c>
      <c r="BK395" s="5" t="s">
        <v>1417</v>
      </c>
      <c r="BL395" s="5" t="s">
        <v>7560</v>
      </c>
      <c r="BM395" s="5" t="s">
        <v>21</v>
      </c>
      <c r="BN395" s="5" t="s">
        <v>120</v>
      </c>
      <c r="BO395" s="5" t="s">
        <v>21</v>
      </c>
      <c r="BP395" s="5" t="s">
        <v>21</v>
      </c>
      <c r="BQ395" s="5" t="s">
        <v>49</v>
      </c>
      <c r="BR395" s="5" t="s">
        <v>7561</v>
      </c>
      <c r="BS395" s="5" t="str">
        <f>HYPERLINK("https%3A%2F%2Fwww.webofscience.com%2Fwos%2Fwoscc%2Ffull-record%2FWOS:001041244900002","View Full Record in Web of Science")</f>
        <v>View Full Record in Web of Science</v>
      </c>
    </row>
    <row r="396" spans="1:71" x14ac:dyDescent="0.25">
      <c r="A396" t="s">
        <v>19</v>
      </c>
      <c r="B396" s="5" t="s">
        <v>7562</v>
      </c>
      <c r="C396" s="5" t="s">
        <v>21</v>
      </c>
      <c r="D396" s="5" t="s">
        <v>21</v>
      </c>
      <c r="E396" s="5" t="s">
        <v>21</v>
      </c>
      <c r="F396" s="5" t="s">
        <v>7563</v>
      </c>
      <c r="G396" s="5" t="s">
        <v>21</v>
      </c>
      <c r="H396" s="5" t="s">
        <v>21</v>
      </c>
      <c r="I396" s="5" t="s">
        <v>7564</v>
      </c>
      <c r="J396" s="12" t="s">
        <v>7565</v>
      </c>
      <c r="K396" s="5" t="s">
        <v>21</v>
      </c>
      <c r="L396" s="5" t="s">
        <v>21</v>
      </c>
      <c r="M396" s="5" t="s">
        <v>25</v>
      </c>
      <c r="N396" s="5" t="s">
        <v>26</v>
      </c>
      <c r="O396" s="5" t="s">
        <v>21</v>
      </c>
      <c r="P396" s="5" t="s">
        <v>21</v>
      </c>
      <c r="Q396" s="5" t="s">
        <v>21</v>
      </c>
      <c r="R396" s="5" t="s">
        <v>21</v>
      </c>
      <c r="S396" s="5" t="s">
        <v>21</v>
      </c>
      <c r="T396" s="5" t="s">
        <v>7566</v>
      </c>
      <c r="U396" s="5" t="s">
        <v>7567</v>
      </c>
      <c r="V396" s="5" t="s">
        <v>7568</v>
      </c>
      <c r="W396" s="5" t="s">
        <v>7569</v>
      </c>
      <c r="X396" s="5" t="s">
        <v>7570</v>
      </c>
      <c r="Y396" s="5" t="s">
        <v>7571</v>
      </c>
      <c r="Z396" s="5" t="s">
        <v>7572</v>
      </c>
      <c r="AA396" s="5" t="s">
        <v>21</v>
      </c>
      <c r="AB396" s="5" t="s">
        <v>21</v>
      </c>
      <c r="AC396" s="5" t="s">
        <v>21</v>
      </c>
      <c r="AD396" s="5" t="s">
        <v>21</v>
      </c>
      <c r="AE396" s="5" t="s">
        <v>21</v>
      </c>
      <c r="AF396" s="5">
        <v>64</v>
      </c>
      <c r="AG396" s="5">
        <v>0</v>
      </c>
      <c r="AH396" s="5">
        <v>0</v>
      </c>
      <c r="AI396" s="5">
        <v>4</v>
      </c>
      <c r="AJ396" s="5">
        <v>8</v>
      </c>
      <c r="AK396" s="5" t="s">
        <v>7573</v>
      </c>
      <c r="AL396" s="5" t="s">
        <v>7269</v>
      </c>
      <c r="AM396" s="5" t="s">
        <v>7574</v>
      </c>
      <c r="AN396" s="5" t="s">
        <v>7575</v>
      </c>
      <c r="AO396" s="5" t="s">
        <v>21</v>
      </c>
      <c r="AP396" s="5" t="s">
        <v>21</v>
      </c>
      <c r="AQ396" s="5" t="s">
        <v>7576</v>
      </c>
      <c r="AR396" s="5" t="s">
        <v>7577</v>
      </c>
      <c r="AS396" s="5" t="s">
        <v>89</v>
      </c>
      <c r="AT396" s="5">
        <v>2023</v>
      </c>
      <c r="AU396" s="5">
        <v>11</v>
      </c>
      <c r="AV396" s="5">
        <v>1</v>
      </c>
      <c r="AW396" s="5" t="s">
        <v>21</v>
      </c>
      <c r="AX396" s="5" t="s">
        <v>21</v>
      </c>
      <c r="AY396" s="5" t="s">
        <v>21</v>
      </c>
      <c r="AZ396" s="5" t="s">
        <v>21</v>
      </c>
      <c r="BA396" s="5">
        <v>73</v>
      </c>
      <c r="BB396" s="5">
        <v>95</v>
      </c>
      <c r="BC396" s="5" t="s">
        <v>21</v>
      </c>
      <c r="BD396" s="5" t="s">
        <v>7578</v>
      </c>
      <c r="BE396" s="5" t="str">
        <f>HYPERLINK("http://dx.doi.org/10.5569/2340-5104.11.01.04","http://dx.doi.org/10.5569/2340-5104.11.01.04")</f>
        <v>http://dx.doi.org/10.5569/2340-5104.11.01.04</v>
      </c>
      <c r="BF396" s="5" t="s">
        <v>21</v>
      </c>
      <c r="BG396" s="5" t="s">
        <v>21</v>
      </c>
      <c r="BH396" s="5">
        <v>23</v>
      </c>
      <c r="BI396" s="5" t="s">
        <v>2990</v>
      </c>
      <c r="BJ396" s="5" t="s">
        <v>1907</v>
      </c>
      <c r="BK396" s="5" t="s">
        <v>2990</v>
      </c>
      <c r="BL396" s="5" t="s">
        <v>7579</v>
      </c>
      <c r="BM396" s="5" t="s">
        <v>21</v>
      </c>
      <c r="BN396" s="5" t="s">
        <v>1909</v>
      </c>
      <c r="BO396" s="5" t="s">
        <v>21</v>
      </c>
      <c r="BP396" s="5" t="s">
        <v>21</v>
      </c>
      <c r="BQ396" s="5" t="s">
        <v>49</v>
      </c>
      <c r="BR396" s="5" t="s">
        <v>7580</v>
      </c>
      <c r="BS396" s="5" t="str">
        <f>HYPERLINK("https%3A%2F%2Fwww.webofscience.com%2Fwos%2Fwoscc%2Ffull-record%2FWOS:001020424300004","View Full Record in Web of Science")</f>
        <v>View Full Record in Web of Science</v>
      </c>
    </row>
    <row r="397" spans="1:71" x14ac:dyDescent="0.25">
      <c r="A397" t="s">
        <v>19</v>
      </c>
      <c r="B397" s="5" t="s">
        <v>7581</v>
      </c>
      <c r="C397" s="5" t="s">
        <v>21</v>
      </c>
      <c r="D397" s="5" t="s">
        <v>21</v>
      </c>
      <c r="E397" s="5" t="s">
        <v>21</v>
      </c>
      <c r="F397" s="5" t="s">
        <v>7582</v>
      </c>
      <c r="G397" s="5" t="s">
        <v>21</v>
      </c>
      <c r="H397" s="5" t="s">
        <v>21</v>
      </c>
      <c r="I397" s="5" t="s">
        <v>7583</v>
      </c>
      <c r="J397" s="12" t="s">
        <v>5574</v>
      </c>
      <c r="K397" s="5" t="s">
        <v>21</v>
      </c>
      <c r="L397" s="5" t="s">
        <v>21</v>
      </c>
      <c r="M397" s="5" t="s">
        <v>25</v>
      </c>
      <c r="N397" s="5" t="s">
        <v>26</v>
      </c>
      <c r="O397" s="5" t="s">
        <v>21</v>
      </c>
      <c r="P397" s="5" t="s">
        <v>21</v>
      </c>
      <c r="Q397" s="5" t="s">
        <v>21</v>
      </c>
      <c r="R397" s="5" t="s">
        <v>21</v>
      </c>
      <c r="S397" s="5" t="s">
        <v>21</v>
      </c>
      <c r="T397" s="5" t="s">
        <v>7584</v>
      </c>
      <c r="U397" s="5" t="s">
        <v>21</v>
      </c>
      <c r="V397" s="5" t="s">
        <v>7585</v>
      </c>
      <c r="W397" s="5" t="s">
        <v>7586</v>
      </c>
      <c r="X397" s="5" t="s">
        <v>5578</v>
      </c>
      <c r="Y397" s="5" t="s">
        <v>7587</v>
      </c>
      <c r="Z397" s="5" t="s">
        <v>7588</v>
      </c>
      <c r="AA397" s="5" t="s">
        <v>7589</v>
      </c>
      <c r="AB397" s="5" t="s">
        <v>7590</v>
      </c>
      <c r="AC397" s="5" t="s">
        <v>21</v>
      </c>
      <c r="AD397" s="5" t="s">
        <v>21</v>
      </c>
      <c r="AE397" s="5" t="s">
        <v>21</v>
      </c>
      <c r="AF397" s="5">
        <v>10</v>
      </c>
      <c r="AG397" s="5">
        <v>0</v>
      </c>
      <c r="AH397" s="5">
        <v>0</v>
      </c>
      <c r="AI397" s="5">
        <v>0</v>
      </c>
      <c r="AJ397" s="5">
        <v>2</v>
      </c>
      <c r="AK397" s="5" t="s">
        <v>5582</v>
      </c>
      <c r="AL397" s="5" t="s">
        <v>5583</v>
      </c>
      <c r="AM397" s="5" t="s">
        <v>5584</v>
      </c>
      <c r="AN397" s="5" t="s">
        <v>5585</v>
      </c>
      <c r="AO397" s="5" t="s">
        <v>5586</v>
      </c>
      <c r="AP397" s="5" t="s">
        <v>21</v>
      </c>
      <c r="AQ397" s="5" t="s">
        <v>5587</v>
      </c>
      <c r="AR397" s="5" t="s">
        <v>5588</v>
      </c>
      <c r="AS397" s="5" t="s">
        <v>1233</v>
      </c>
      <c r="AT397" s="5">
        <v>2023</v>
      </c>
      <c r="AU397" s="5">
        <v>21</v>
      </c>
      <c r="AV397" s="5" t="s">
        <v>21</v>
      </c>
      <c r="AW397" s="5" t="s">
        <v>21</v>
      </c>
      <c r="AX397" s="5" t="s">
        <v>21</v>
      </c>
      <c r="AY397" s="5" t="s">
        <v>21</v>
      </c>
      <c r="AZ397" s="5" t="s">
        <v>21</v>
      </c>
      <c r="BA397" s="5">
        <v>155</v>
      </c>
      <c r="BB397" s="5">
        <v>160</v>
      </c>
      <c r="BC397" s="5" t="s">
        <v>21</v>
      </c>
      <c r="BD397" s="5" t="s">
        <v>21</v>
      </c>
      <c r="BE397" s="5" t="s">
        <v>21</v>
      </c>
      <c r="BF397" s="5" t="s">
        <v>21</v>
      </c>
      <c r="BG397" s="5" t="s">
        <v>21</v>
      </c>
      <c r="BH397" s="5">
        <v>6</v>
      </c>
      <c r="BI397" s="5" t="s">
        <v>4702</v>
      </c>
      <c r="BJ397" s="5" t="s">
        <v>1907</v>
      </c>
      <c r="BK397" s="5" t="s">
        <v>715</v>
      </c>
      <c r="BL397" s="5" t="s">
        <v>7591</v>
      </c>
      <c r="BM397" s="5" t="s">
        <v>21</v>
      </c>
      <c r="BN397" s="5" t="s">
        <v>21</v>
      </c>
      <c r="BO397" s="5" t="s">
        <v>21</v>
      </c>
      <c r="BP397" s="5" t="s">
        <v>21</v>
      </c>
      <c r="BQ397" s="5" t="s">
        <v>49</v>
      </c>
      <c r="BR397" s="5" t="s">
        <v>7592</v>
      </c>
      <c r="BS397" s="5" t="str">
        <f>HYPERLINK("https%3A%2F%2Fwww.webofscience.com%2Fwos%2Fwoscc%2Ffull-record%2FWOS:001115856700027","View Full Record in Web of Science")</f>
        <v>View Full Record in Web of Science</v>
      </c>
    </row>
    <row r="398" spans="1:71" x14ac:dyDescent="0.25">
      <c r="A398" t="s">
        <v>19</v>
      </c>
      <c r="B398" s="5" t="s">
        <v>7593</v>
      </c>
      <c r="C398" s="5" t="s">
        <v>21</v>
      </c>
      <c r="D398" s="5" t="s">
        <v>21</v>
      </c>
      <c r="E398" s="5" t="s">
        <v>21</v>
      </c>
      <c r="F398" s="5" t="s">
        <v>7594</v>
      </c>
      <c r="G398" s="5" t="s">
        <v>21</v>
      </c>
      <c r="H398" s="5" t="s">
        <v>21</v>
      </c>
      <c r="I398" s="5" t="s">
        <v>7595</v>
      </c>
      <c r="J398" s="12" t="s">
        <v>3204</v>
      </c>
      <c r="K398" s="5" t="s">
        <v>21</v>
      </c>
      <c r="L398" s="5" t="s">
        <v>21</v>
      </c>
      <c r="M398" s="5" t="s">
        <v>25</v>
      </c>
      <c r="N398" s="5" t="s">
        <v>26</v>
      </c>
      <c r="O398" s="5" t="s">
        <v>21</v>
      </c>
      <c r="P398" s="5" t="s">
        <v>21</v>
      </c>
      <c r="Q398" s="5" t="s">
        <v>21</v>
      </c>
      <c r="R398" s="5" t="s">
        <v>21</v>
      </c>
      <c r="S398" s="5" t="s">
        <v>21</v>
      </c>
      <c r="T398" s="5" t="s">
        <v>7596</v>
      </c>
      <c r="U398" s="5" t="s">
        <v>7597</v>
      </c>
      <c r="V398" s="5" t="s">
        <v>7598</v>
      </c>
      <c r="W398" s="5" t="s">
        <v>7599</v>
      </c>
      <c r="X398" s="5" t="s">
        <v>7600</v>
      </c>
      <c r="Y398" s="5" t="s">
        <v>7601</v>
      </c>
      <c r="Z398" s="5" t="s">
        <v>7602</v>
      </c>
      <c r="AA398" s="5" t="s">
        <v>21</v>
      </c>
      <c r="AB398" s="5" t="s">
        <v>7603</v>
      </c>
      <c r="AC398" s="5" t="s">
        <v>21</v>
      </c>
      <c r="AD398" s="5" t="s">
        <v>21</v>
      </c>
      <c r="AE398" s="5" t="s">
        <v>21</v>
      </c>
      <c r="AF398" s="5">
        <v>47</v>
      </c>
      <c r="AG398" s="5">
        <v>0</v>
      </c>
      <c r="AH398" s="5">
        <v>0</v>
      </c>
      <c r="AI398" s="5">
        <v>3</v>
      </c>
      <c r="AJ398" s="5">
        <v>16</v>
      </c>
      <c r="AK398" s="5" t="s">
        <v>3215</v>
      </c>
      <c r="AL398" s="5" t="s">
        <v>64</v>
      </c>
      <c r="AM398" s="5" t="s">
        <v>3216</v>
      </c>
      <c r="AN398" s="5" t="s">
        <v>3217</v>
      </c>
      <c r="AO398" s="5" t="s">
        <v>3218</v>
      </c>
      <c r="AP398" s="5" t="s">
        <v>21</v>
      </c>
      <c r="AQ398" s="5" t="s">
        <v>3219</v>
      </c>
      <c r="AR398" s="5" t="s">
        <v>3220</v>
      </c>
      <c r="AS398" s="5" t="s">
        <v>269</v>
      </c>
      <c r="AT398" s="5">
        <v>2023</v>
      </c>
      <c r="AU398" s="5">
        <v>7</v>
      </c>
      <c r="AV398" s="5">
        <v>4</v>
      </c>
      <c r="AW398" s="5" t="s">
        <v>21</v>
      </c>
      <c r="AX398" s="5" t="s">
        <v>21</v>
      </c>
      <c r="AY398" s="5" t="s">
        <v>21</v>
      </c>
      <c r="AZ398" s="5" t="s">
        <v>21</v>
      </c>
      <c r="BA398" s="5">
        <v>616</v>
      </c>
      <c r="BB398" s="5">
        <v>628</v>
      </c>
      <c r="BC398" s="5" t="s">
        <v>21</v>
      </c>
      <c r="BD398" s="5" t="s">
        <v>7604</v>
      </c>
      <c r="BE398" s="5" t="str">
        <f>HYPERLINK("http://dx.doi.org/10.1007/s41252-023-00326-5","http://dx.doi.org/10.1007/s41252-023-00326-5")</f>
        <v>http://dx.doi.org/10.1007/s41252-023-00326-5</v>
      </c>
      <c r="BF398" s="5" t="s">
        <v>21</v>
      </c>
      <c r="BG398" s="5" t="s">
        <v>7605</v>
      </c>
      <c r="BH398" s="5">
        <v>13</v>
      </c>
      <c r="BI398" s="5" t="s">
        <v>741</v>
      </c>
      <c r="BJ398" s="5" t="s">
        <v>1907</v>
      </c>
      <c r="BK398" s="5" t="s">
        <v>742</v>
      </c>
      <c r="BL398" s="5" t="s">
        <v>7606</v>
      </c>
      <c r="BM398" s="5" t="s">
        <v>21</v>
      </c>
      <c r="BN398" s="5" t="s">
        <v>21</v>
      </c>
      <c r="BO398" s="5" t="s">
        <v>21</v>
      </c>
      <c r="BP398" s="5" t="s">
        <v>21</v>
      </c>
      <c r="BQ398" s="5" t="s">
        <v>49</v>
      </c>
      <c r="BR398" s="5" t="s">
        <v>7607</v>
      </c>
      <c r="BS398" s="5" t="str">
        <f>HYPERLINK("https%3A%2F%2Fwww.webofscience.com%2Fwos%2Fwoscc%2Ffull-record%2FWOS:000949602200001","View Full Record in Web of Science")</f>
        <v>View Full Record in Web of Science</v>
      </c>
    </row>
    <row r="399" spans="1:71" x14ac:dyDescent="0.25">
      <c r="A399" t="s">
        <v>19</v>
      </c>
      <c r="B399" s="5" t="s">
        <v>7608</v>
      </c>
      <c r="C399" s="5" t="s">
        <v>21</v>
      </c>
      <c r="D399" s="5" t="s">
        <v>21</v>
      </c>
      <c r="E399" s="5" t="s">
        <v>21</v>
      </c>
      <c r="F399" s="5" t="s">
        <v>7609</v>
      </c>
      <c r="G399" s="5" t="s">
        <v>21</v>
      </c>
      <c r="H399" s="5" t="s">
        <v>21</v>
      </c>
      <c r="I399" s="5" t="s">
        <v>7610</v>
      </c>
      <c r="J399" s="12" t="s">
        <v>7611</v>
      </c>
      <c r="K399" s="5" t="s">
        <v>21</v>
      </c>
      <c r="L399" s="5" t="s">
        <v>21</v>
      </c>
      <c r="M399" s="5" t="s">
        <v>25</v>
      </c>
      <c r="N399" s="5" t="s">
        <v>26</v>
      </c>
      <c r="O399" s="5" t="s">
        <v>21</v>
      </c>
      <c r="P399" s="5" t="s">
        <v>21</v>
      </c>
      <c r="Q399" s="5" t="s">
        <v>21</v>
      </c>
      <c r="R399" s="5" t="s">
        <v>21</v>
      </c>
      <c r="S399" s="5" t="s">
        <v>21</v>
      </c>
      <c r="T399" s="5" t="s">
        <v>7612</v>
      </c>
      <c r="U399" s="5" t="s">
        <v>21</v>
      </c>
      <c r="V399" s="5" t="s">
        <v>7613</v>
      </c>
      <c r="W399" s="5" t="s">
        <v>7614</v>
      </c>
      <c r="X399" s="5" t="s">
        <v>7615</v>
      </c>
      <c r="Y399" s="5" t="s">
        <v>7616</v>
      </c>
      <c r="Z399" s="5" t="s">
        <v>7617</v>
      </c>
      <c r="AA399" s="5" t="s">
        <v>21</v>
      </c>
      <c r="AB399" s="5" t="s">
        <v>21</v>
      </c>
      <c r="AC399" s="5" t="s">
        <v>7618</v>
      </c>
      <c r="AD399" s="5" t="s">
        <v>7619</v>
      </c>
      <c r="AE399" s="5" t="s">
        <v>7620</v>
      </c>
      <c r="AF399" s="5">
        <v>28</v>
      </c>
      <c r="AG399" s="5">
        <v>0</v>
      </c>
      <c r="AH399" s="5">
        <v>0</v>
      </c>
      <c r="AI399" s="5">
        <v>5</v>
      </c>
      <c r="AJ399" s="5">
        <v>30</v>
      </c>
      <c r="AK399" s="5" t="s">
        <v>7432</v>
      </c>
      <c r="AL399" s="5" t="s">
        <v>7433</v>
      </c>
      <c r="AM399" s="5" t="s">
        <v>7434</v>
      </c>
      <c r="AN399" s="5" t="s">
        <v>7621</v>
      </c>
      <c r="AO399" s="5" t="s">
        <v>7622</v>
      </c>
      <c r="AP399" s="5" t="s">
        <v>21</v>
      </c>
      <c r="AQ399" s="5" t="s">
        <v>7623</v>
      </c>
      <c r="AR399" s="5" t="s">
        <v>7624</v>
      </c>
      <c r="AS399" s="5" t="s">
        <v>21</v>
      </c>
      <c r="AT399" s="5">
        <v>2021</v>
      </c>
      <c r="AU399" s="5">
        <v>30</v>
      </c>
      <c r="AV399" s="5">
        <v>3</v>
      </c>
      <c r="AW399" s="5" t="s">
        <v>21</v>
      </c>
      <c r="AX399" s="5" t="s">
        <v>21</v>
      </c>
      <c r="AY399" s="5" t="s">
        <v>21</v>
      </c>
      <c r="AZ399" s="5" t="s">
        <v>21</v>
      </c>
      <c r="BA399" s="5">
        <v>317</v>
      </c>
      <c r="BB399" s="5">
        <v>333</v>
      </c>
      <c r="BC399" s="5" t="s">
        <v>21</v>
      </c>
      <c r="BD399" s="5" t="s">
        <v>21</v>
      </c>
      <c r="BE399" s="5" t="s">
        <v>21</v>
      </c>
      <c r="BF399" s="5" t="s">
        <v>21</v>
      </c>
      <c r="BG399" s="5" t="s">
        <v>21</v>
      </c>
      <c r="BH399" s="5">
        <v>17</v>
      </c>
      <c r="BI399" s="5" t="s">
        <v>7625</v>
      </c>
      <c r="BJ399" s="5" t="s">
        <v>1907</v>
      </c>
      <c r="BK399" s="5" t="s">
        <v>7626</v>
      </c>
      <c r="BL399" s="5" t="s">
        <v>7627</v>
      </c>
      <c r="BM399" s="5" t="s">
        <v>21</v>
      </c>
      <c r="BN399" s="5" t="s">
        <v>21</v>
      </c>
      <c r="BO399" s="5" t="s">
        <v>21</v>
      </c>
      <c r="BP399" s="5" t="s">
        <v>21</v>
      </c>
      <c r="BQ399" s="5" t="s">
        <v>49</v>
      </c>
      <c r="BR399" s="5" t="s">
        <v>7628</v>
      </c>
      <c r="BS399" s="5" t="str">
        <f>HYPERLINK("https%3A%2F%2Fwww.webofscience.com%2Fwos%2Fwoscc%2Ffull-record%2FWOS:000708512900004","View Full Record in Web of Science")</f>
        <v>View Full Record in Web of Science</v>
      </c>
    </row>
    <row r="400" spans="1:71" x14ac:dyDescent="0.25">
      <c r="A400" t="s">
        <v>19</v>
      </c>
      <c r="B400" s="5" t="s">
        <v>7629</v>
      </c>
      <c r="C400" s="5" t="s">
        <v>21</v>
      </c>
      <c r="D400" s="5" t="s">
        <v>21</v>
      </c>
      <c r="E400" s="5" t="s">
        <v>21</v>
      </c>
      <c r="F400" s="5" t="s">
        <v>7630</v>
      </c>
      <c r="G400" s="5" t="s">
        <v>21</v>
      </c>
      <c r="H400" s="5" t="s">
        <v>21</v>
      </c>
      <c r="I400" s="5" t="s">
        <v>7631</v>
      </c>
      <c r="J400" s="12" t="s">
        <v>7632</v>
      </c>
      <c r="K400" s="5" t="s">
        <v>21</v>
      </c>
      <c r="L400" s="5" t="s">
        <v>21</v>
      </c>
      <c r="M400" s="5" t="s">
        <v>25</v>
      </c>
      <c r="N400" s="5" t="s">
        <v>26</v>
      </c>
      <c r="O400" s="5" t="s">
        <v>21</v>
      </c>
      <c r="P400" s="5" t="s">
        <v>21</v>
      </c>
      <c r="Q400" s="5" t="s">
        <v>21</v>
      </c>
      <c r="R400" s="5" t="s">
        <v>21</v>
      </c>
      <c r="S400" s="5" t="s">
        <v>21</v>
      </c>
      <c r="T400" s="5" t="s">
        <v>21</v>
      </c>
      <c r="U400" s="5" t="s">
        <v>3393</v>
      </c>
      <c r="V400" s="5" t="s">
        <v>7633</v>
      </c>
      <c r="W400" s="5" t="s">
        <v>21</v>
      </c>
      <c r="X400" s="5" t="s">
        <v>21</v>
      </c>
      <c r="Y400" s="5" t="s">
        <v>21</v>
      </c>
      <c r="Z400" s="5" t="s">
        <v>7634</v>
      </c>
      <c r="AA400" s="5" t="s">
        <v>21</v>
      </c>
      <c r="AB400" s="5" t="s">
        <v>21</v>
      </c>
      <c r="AC400" s="5" t="s">
        <v>21</v>
      </c>
      <c r="AD400" s="5" t="s">
        <v>21</v>
      </c>
      <c r="AE400" s="5" t="s">
        <v>21</v>
      </c>
      <c r="AF400" s="5">
        <v>21</v>
      </c>
      <c r="AG400" s="5">
        <v>0</v>
      </c>
      <c r="AH400" s="5">
        <v>1</v>
      </c>
      <c r="AI400" s="5">
        <v>0</v>
      </c>
      <c r="AJ400" s="5">
        <v>11</v>
      </c>
      <c r="AK400" s="5" t="s">
        <v>7635</v>
      </c>
      <c r="AL400" s="5" t="s">
        <v>7636</v>
      </c>
      <c r="AM400" s="5" t="s">
        <v>7637</v>
      </c>
      <c r="AN400" s="5" t="s">
        <v>7638</v>
      </c>
      <c r="AO400" s="5" t="s">
        <v>21</v>
      </c>
      <c r="AP400" s="5" t="s">
        <v>21</v>
      </c>
      <c r="AQ400" s="5" t="s">
        <v>7632</v>
      </c>
      <c r="AR400" s="5" t="s">
        <v>7639</v>
      </c>
      <c r="AS400" s="5" t="s">
        <v>199</v>
      </c>
      <c r="AT400" s="5">
        <v>2008</v>
      </c>
      <c r="AU400" s="5">
        <v>21</v>
      </c>
      <c r="AV400" s="5">
        <v>8</v>
      </c>
      <c r="AW400" s="5" t="s">
        <v>21</v>
      </c>
      <c r="AX400" s="5" t="s">
        <v>21</v>
      </c>
      <c r="AY400" s="5" t="s">
        <v>21</v>
      </c>
      <c r="AZ400" s="5" t="s">
        <v>21</v>
      </c>
      <c r="BA400" s="5">
        <v>674</v>
      </c>
      <c r="BB400" s="5">
        <v>676</v>
      </c>
      <c r="BC400" s="5" t="s">
        <v>21</v>
      </c>
      <c r="BD400" s="5" t="s">
        <v>21</v>
      </c>
      <c r="BE400" s="5" t="s">
        <v>21</v>
      </c>
      <c r="BF400" s="5" t="s">
        <v>21</v>
      </c>
      <c r="BG400" s="5" t="s">
        <v>21</v>
      </c>
      <c r="BH400" s="5">
        <v>3</v>
      </c>
      <c r="BI400" s="5" t="s">
        <v>825</v>
      </c>
      <c r="BJ400" s="5" t="s">
        <v>45</v>
      </c>
      <c r="BK400" s="5" t="s">
        <v>46</v>
      </c>
      <c r="BL400" s="5" t="s">
        <v>7640</v>
      </c>
      <c r="BM400" s="5" t="s">
        <v>21</v>
      </c>
      <c r="BN400" s="5" t="s">
        <v>21</v>
      </c>
      <c r="BO400" s="5" t="s">
        <v>21</v>
      </c>
      <c r="BP400" s="5" t="s">
        <v>21</v>
      </c>
      <c r="BQ400" s="5" t="s">
        <v>49</v>
      </c>
      <c r="BR400" s="5" t="s">
        <v>7641</v>
      </c>
      <c r="BS400" s="5" t="str">
        <f>HYPERLINK("https%3A%2F%2Fwww.webofscience.com%2Fwos%2Fwoscc%2Ffull-record%2FWOS:000258753700014","View Full Record in Web of Science")</f>
        <v>View Full Record in Web of Science</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B110-51CE-4AED-8D28-CF8F4546A684}">
  <dimension ref="A1:AB59"/>
  <sheetViews>
    <sheetView zoomScale="60" zoomScaleNormal="60" workbookViewId="0">
      <pane ySplit="2" topLeftCell="A3" activePane="bottomLeft" state="frozen"/>
      <selection pane="bottomLeft"/>
    </sheetView>
  </sheetViews>
  <sheetFormatPr defaultColWidth="11.5546875" defaultRowHeight="14.4" x14ac:dyDescent="0.3"/>
  <cols>
    <col min="1" max="1" width="11.5546875" style="18"/>
    <col min="2" max="2" width="30.6640625" style="19" customWidth="1"/>
    <col min="3" max="3" width="65.33203125" style="19" customWidth="1"/>
    <col min="4" max="4" width="30.6640625" style="36" customWidth="1"/>
    <col min="5" max="15" width="30.6640625" style="9" customWidth="1"/>
    <col min="16" max="28" width="11.5546875" style="10"/>
    <col min="29" max="16384" width="11.5546875" style="2"/>
  </cols>
  <sheetData>
    <row r="1" spans="1:28" x14ac:dyDescent="0.3">
      <c r="A1" s="6" t="s">
        <v>7720</v>
      </c>
      <c r="E1" s="6"/>
    </row>
    <row r="2" spans="1:28" s="1" customFormat="1" x14ac:dyDescent="0.25">
      <c r="A2" s="15" t="s">
        <v>7642</v>
      </c>
      <c r="B2" s="20" t="s">
        <v>7669</v>
      </c>
      <c r="C2" s="20" t="s">
        <v>7672</v>
      </c>
      <c r="D2" s="20" t="s">
        <v>7673</v>
      </c>
      <c r="E2" s="7" t="s">
        <v>1</v>
      </c>
      <c r="F2" s="7" t="s">
        <v>7676</v>
      </c>
      <c r="G2" s="7" t="s">
        <v>7682</v>
      </c>
      <c r="H2" s="7" t="s">
        <v>2</v>
      </c>
      <c r="I2" s="7" t="s">
        <v>5</v>
      </c>
      <c r="J2" s="7" t="s">
        <v>7690</v>
      </c>
      <c r="K2" s="7" t="s">
        <v>7717</v>
      </c>
      <c r="L2" s="7" t="s">
        <v>7692</v>
      </c>
      <c r="M2" s="7" t="s">
        <v>7693</v>
      </c>
      <c r="N2" s="7" t="s">
        <v>7</v>
      </c>
      <c r="O2" s="7" t="s">
        <v>8</v>
      </c>
      <c r="P2" s="7" t="s">
        <v>9</v>
      </c>
      <c r="Q2" s="7" t="s">
        <v>7696</v>
      </c>
      <c r="R2" s="7" t="s">
        <v>7697</v>
      </c>
      <c r="S2" s="7" t="s">
        <v>7699</v>
      </c>
      <c r="T2" s="7" t="s">
        <v>14</v>
      </c>
      <c r="U2" s="7" t="s">
        <v>15</v>
      </c>
      <c r="V2" s="7" t="s">
        <v>7708</v>
      </c>
      <c r="W2" s="7" t="s">
        <v>7709</v>
      </c>
      <c r="X2" s="7" t="s">
        <v>7711</v>
      </c>
      <c r="Y2" s="7" t="s">
        <v>17</v>
      </c>
      <c r="Z2" s="7" t="s">
        <v>7712</v>
      </c>
      <c r="AA2" s="7" t="s">
        <v>18</v>
      </c>
      <c r="AB2" s="7" t="s">
        <v>7716</v>
      </c>
    </row>
    <row r="3" spans="1:28" ht="43.2" x14ac:dyDescent="0.3">
      <c r="A3" s="16">
        <v>1</v>
      </c>
      <c r="B3" s="21" t="s">
        <v>22</v>
      </c>
      <c r="C3" s="21" t="s">
        <v>23</v>
      </c>
      <c r="D3" s="32" t="s">
        <v>24</v>
      </c>
      <c r="E3" s="8" t="s">
        <v>25</v>
      </c>
      <c r="F3" s="8" t="s">
        <v>26</v>
      </c>
      <c r="G3" s="8" t="s">
        <v>27</v>
      </c>
      <c r="H3" s="8" t="s">
        <v>28</v>
      </c>
      <c r="I3" s="8" t="s">
        <v>31</v>
      </c>
      <c r="J3" s="8">
        <v>378</v>
      </c>
      <c r="K3" s="8">
        <v>446</v>
      </c>
      <c r="L3" s="8">
        <v>15</v>
      </c>
      <c r="M3" s="8">
        <v>208</v>
      </c>
      <c r="N3" s="8" t="s">
        <v>35</v>
      </c>
      <c r="O3" s="8" t="s">
        <v>38</v>
      </c>
      <c r="P3" s="8" t="s">
        <v>39</v>
      </c>
      <c r="Q3" s="8" t="s">
        <v>40</v>
      </c>
      <c r="R3" s="8" t="s">
        <v>41</v>
      </c>
      <c r="S3" s="8">
        <v>2013</v>
      </c>
      <c r="T3" s="8" t="s">
        <v>43</v>
      </c>
      <c r="U3" s="8" t="str">
        <f>HYPERLINK("http://dx.doi.org/10.1007/s10803-012-1544-6","http://dx.doi.org/10.1007/s10803-012-1544-6")</f>
        <v>http://dx.doi.org/10.1007/s10803-012-1544-6</v>
      </c>
      <c r="V3" s="8" t="s">
        <v>44</v>
      </c>
      <c r="W3" s="8" t="s">
        <v>45</v>
      </c>
      <c r="X3" s="8" t="s">
        <v>47</v>
      </c>
      <c r="Y3" s="8">
        <v>22570145</v>
      </c>
      <c r="Z3" s="8" t="s">
        <v>48</v>
      </c>
      <c r="AA3" s="8" t="s">
        <v>50</v>
      </c>
      <c r="AB3" s="22" t="str">
        <f>HYPERLINK("https%3A%2F%2Fwww.webofscience.com%2Fwos%2Fwoscc%2Ffull-record%2FWOS:000313073700004","View Full Record in Web of Science")</f>
        <v>View Full Record in Web of Science</v>
      </c>
    </row>
    <row r="4" spans="1:28" ht="43.2" x14ac:dyDescent="0.3">
      <c r="A4" s="17">
        <v>2</v>
      </c>
      <c r="B4" s="21" t="s">
        <v>52</v>
      </c>
      <c r="C4" s="21" t="s">
        <v>53</v>
      </c>
      <c r="D4" s="32" t="s">
        <v>54</v>
      </c>
      <c r="E4" s="8" t="s">
        <v>25</v>
      </c>
      <c r="F4" s="8" t="s">
        <v>26</v>
      </c>
      <c r="G4" s="8" t="s">
        <v>55</v>
      </c>
      <c r="H4" s="8" t="s">
        <v>56</v>
      </c>
      <c r="I4" s="8" t="s">
        <v>59</v>
      </c>
      <c r="J4" s="8">
        <v>300</v>
      </c>
      <c r="K4" s="8">
        <v>347</v>
      </c>
      <c r="L4" s="8">
        <v>8</v>
      </c>
      <c r="M4" s="8">
        <v>148</v>
      </c>
      <c r="N4" s="8" t="s">
        <v>63</v>
      </c>
      <c r="O4" s="8" t="s">
        <v>66</v>
      </c>
      <c r="P4" s="8" t="s">
        <v>67</v>
      </c>
      <c r="Q4" s="8" t="s">
        <v>54</v>
      </c>
      <c r="R4" s="8" t="s">
        <v>68</v>
      </c>
      <c r="S4" s="8">
        <v>2014</v>
      </c>
      <c r="T4" s="8" t="s">
        <v>70</v>
      </c>
      <c r="U4" s="8" t="str">
        <f>HYPERLINK("http://dx.doi.org/10.1177/1362361313476767","http://dx.doi.org/10.1177/1362361313476767")</f>
        <v>http://dx.doi.org/10.1177/1362361313476767</v>
      </c>
      <c r="V4" s="8" t="s">
        <v>44</v>
      </c>
      <c r="W4" s="8" t="s">
        <v>45</v>
      </c>
      <c r="X4" s="8" t="s">
        <v>71</v>
      </c>
      <c r="Y4" s="8">
        <v>24092843</v>
      </c>
      <c r="Z4" s="8" t="s">
        <v>21</v>
      </c>
      <c r="AA4" s="8" t="s">
        <v>72</v>
      </c>
      <c r="AB4" s="22" t="str">
        <f>HYPERLINK("https%3A%2F%2Fwww.webofscience.com%2Fwos%2Fwoscc%2Ffull-record%2FWOS:000334377400001","View Full Record in Web of Science")</f>
        <v>View Full Record in Web of Science</v>
      </c>
    </row>
    <row r="5" spans="1:28" ht="28.8" x14ac:dyDescent="0.3">
      <c r="A5" s="16">
        <v>3</v>
      </c>
      <c r="B5" s="21" t="s">
        <v>73</v>
      </c>
      <c r="C5" s="21" t="s">
        <v>74</v>
      </c>
      <c r="D5" s="32" t="s">
        <v>75</v>
      </c>
      <c r="E5" s="8" t="s">
        <v>25</v>
      </c>
      <c r="F5" s="8" t="s">
        <v>76</v>
      </c>
      <c r="G5" s="8" t="s">
        <v>77</v>
      </c>
      <c r="H5" s="8" t="s">
        <v>78</v>
      </c>
      <c r="I5" s="8" t="s">
        <v>81</v>
      </c>
      <c r="J5" s="8">
        <v>281</v>
      </c>
      <c r="K5" s="8">
        <v>284</v>
      </c>
      <c r="L5" s="8">
        <v>6</v>
      </c>
      <c r="M5" s="8">
        <v>121</v>
      </c>
      <c r="N5" s="8" t="s">
        <v>83</v>
      </c>
      <c r="O5" s="8" t="s">
        <v>86</v>
      </c>
      <c r="P5" s="8" t="s">
        <v>21</v>
      </c>
      <c r="Q5" s="8" t="s">
        <v>87</v>
      </c>
      <c r="R5" s="8" t="s">
        <v>88</v>
      </c>
      <c r="S5" s="8">
        <v>2002</v>
      </c>
      <c r="T5" s="8" t="s">
        <v>90</v>
      </c>
      <c r="U5" s="8" t="str">
        <f>HYPERLINK("http://dx.doi.org/10.1046/j.1365-2788.2002.00425.x","http://dx.doi.org/10.1046/j.1365-2788.2002.00425.x")</f>
        <v>http://dx.doi.org/10.1046/j.1365-2788.2002.00425.x</v>
      </c>
      <c r="V5" s="8" t="s">
        <v>91</v>
      </c>
      <c r="W5" s="8" t="s">
        <v>92</v>
      </c>
      <c r="X5" s="8" t="s">
        <v>94</v>
      </c>
      <c r="Y5" s="8">
        <v>12031025</v>
      </c>
      <c r="Z5" s="8" t="s">
        <v>95</v>
      </c>
      <c r="AA5" s="8" t="s">
        <v>96</v>
      </c>
      <c r="AB5" s="22" t="str">
        <f>HYPERLINK("https%3A%2F%2Fwww.webofscience.com%2Fwos%2Fwoscc%2Ffull-record%2FWOS:000175837800006","View Full Record in Web of Science")</f>
        <v>View Full Record in Web of Science</v>
      </c>
    </row>
    <row r="6" spans="1:28" ht="43.2" x14ac:dyDescent="0.3">
      <c r="A6" s="17">
        <v>4</v>
      </c>
      <c r="B6" s="21" t="s">
        <v>98</v>
      </c>
      <c r="C6" s="21" t="s">
        <v>99</v>
      </c>
      <c r="D6" s="32" t="s">
        <v>100</v>
      </c>
      <c r="E6" s="8" t="s">
        <v>25</v>
      </c>
      <c r="F6" s="8" t="s">
        <v>26</v>
      </c>
      <c r="G6" s="8" t="s">
        <v>101</v>
      </c>
      <c r="H6" s="8" t="s">
        <v>102</v>
      </c>
      <c r="I6" s="8" t="s">
        <v>31</v>
      </c>
      <c r="J6" s="8">
        <v>252</v>
      </c>
      <c r="K6" s="8">
        <v>264</v>
      </c>
      <c r="L6" s="8">
        <v>27</v>
      </c>
      <c r="M6" s="8">
        <v>216</v>
      </c>
      <c r="N6" s="8" t="s">
        <v>110</v>
      </c>
      <c r="O6" s="8" t="s">
        <v>112</v>
      </c>
      <c r="P6" s="8" t="s">
        <v>113</v>
      </c>
      <c r="Q6" s="8" t="s">
        <v>114</v>
      </c>
      <c r="R6" s="8" t="s">
        <v>115</v>
      </c>
      <c r="S6" s="8">
        <v>2016</v>
      </c>
      <c r="T6" s="8" t="s">
        <v>117</v>
      </c>
      <c r="U6" s="8" t="str">
        <f>HYPERLINK("http://dx.doi.org/10.1016/j.chb.2016.04.033","http://dx.doi.org/10.1016/j.chb.2016.04.033")</f>
        <v>http://dx.doi.org/10.1016/j.chb.2016.04.033</v>
      </c>
      <c r="V6" s="8" t="s">
        <v>118</v>
      </c>
      <c r="W6" s="8" t="s">
        <v>45</v>
      </c>
      <c r="X6" s="8" t="s">
        <v>119</v>
      </c>
      <c r="Y6" s="8" t="s">
        <v>21</v>
      </c>
      <c r="Z6" s="8" t="s">
        <v>120</v>
      </c>
      <c r="AA6" s="8" t="s">
        <v>121</v>
      </c>
      <c r="AB6" s="8" t="str">
        <f>HYPERLINK("https%3A%2F%2Fwww.webofscience.com%2Fwos%2Fwoscc%2Ffull-record%2FWOS:000378952300071","View Full Record in Web of Science")</f>
        <v>View Full Record in Web of Science</v>
      </c>
    </row>
    <row r="7" spans="1:28" ht="72" x14ac:dyDescent="0.3">
      <c r="A7" s="16">
        <v>5</v>
      </c>
      <c r="B7" s="21" t="s">
        <v>123</v>
      </c>
      <c r="C7" s="21" t="s">
        <v>124</v>
      </c>
      <c r="D7" s="32" t="s">
        <v>24</v>
      </c>
      <c r="E7" s="8" t="s">
        <v>25</v>
      </c>
      <c r="F7" s="8" t="s">
        <v>26</v>
      </c>
      <c r="G7" s="8" t="s">
        <v>125</v>
      </c>
      <c r="H7" s="8" t="s">
        <v>126</v>
      </c>
      <c r="I7" s="8" t="s">
        <v>129</v>
      </c>
      <c r="J7" s="8">
        <v>235</v>
      </c>
      <c r="K7" s="8">
        <v>271</v>
      </c>
      <c r="L7" s="8">
        <v>5</v>
      </c>
      <c r="M7" s="8">
        <v>105</v>
      </c>
      <c r="N7" s="8" t="s">
        <v>35</v>
      </c>
      <c r="O7" s="8" t="s">
        <v>38</v>
      </c>
      <c r="P7" s="8" t="s">
        <v>39</v>
      </c>
      <c r="Q7" s="8" t="s">
        <v>40</v>
      </c>
      <c r="R7" s="8" t="s">
        <v>41</v>
      </c>
      <c r="S7" s="8">
        <v>2014</v>
      </c>
      <c r="T7" s="8" t="s">
        <v>135</v>
      </c>
      <c r="U7" s="8" t="str">
        <f>HYPERLINK("http://dx.doi.org/10.1007/s10803-014-2113-y","http://dx.doi.org/10.1007/s10803-014-2113-y")</f>
        <v>http://dx.doi.org/10.1007/s10803-014-2113-y</v>
      </c>
      <c r="V7" s="8" t="s">
        <v>44</v>
      </c>
      <c r="W7" s="8" t="s">
        <v>45</v>
      </c>
      <c r="X7" s="8" t="s">
        <v>136</v>
      </c>
      <c r="Y7" s="8">
        <v>24803366</v>
      </c>
      <c r="Z7" s="8" t="s">
        <v>137</v>
      </c>
      <c r="AA7" s="8" t="s">
        <v>138</v>
      </c>
      <c r="AB7" s="8" t="str">
        <f>HYPERLINK("https%3A%2F%2Fwww.webofscience.com%2Fwos%2Fwoscc%2Ffull-record%2FWOS:000342211800008","View Full Record in Web of Science")</f>
        <v>View Full Record in Web of Science</v>
      </c>
    </row>
    <row r="8" spans="1:28" ht="28.8" x14ac:dyDescent="0.3">
      <c r="A8" s="17">
        <v>6</v>
      </c>
      <c r="B8" s="21" t="s">
        <v>140</v>
      </c>
      <c r="C8" s="21" t="s">
        <v>141</v>
      </c>
      <c r="D8" s="32" t="s">
        <v>142</v>
      </c>
      <c r="E8" s="8" t="s">
        <v>25</v>
      </c>
      <c r="F8" s="8" t="s">
        <v>76</v>
      </c>
      <c r="G8" s="8" t="s">
        <v>143</v>
      </c>
      <c r="H8" s="8" t="s">
        <v>144</v>
      </c>
      <c r="I8" s="8" t="s">
        <v>147</v>
      </c>
      <c r="J8" s="8">
        <v>225</v>
      </c>
      <c r="K8" s="8">
        <v>243</v>
      </c>
      <c r="L8" s="8">
        <v>29</v>
      </c>
      <c r="M8" s="8">
        <v>294</v>
      </c>
      <c r="N8" s="8" t="s">
        <v>153</v>
      </c>
      <c r="O8" s="8" t="s">
        <v>156</v>
      </c>
      <c r="P8" s="8" t="s">
        <v>21</v>
      </c>
      <c r="Q8" s="8" t="s">
        <v>157</v>
      </c>
      <c r="R8" s="8" t="s">
        <v>158</v>
      </c>
      <c r="S8" s="8">
        <v>2019</v>
      </c>
      <c r="T8" s="8" t="s">
        <v>160</v>
      </c>
      <c r="U8" s="8" t="str">
        <f>HYPERLINK("http://dx.doi.org/10.3389/fpsyt.2019.00505","http://dx.doi.org/10.3389/fpsyt.2019.00505")</f>
        <v>http://dx.doi.org/10.3389/fpsyt.2019.00505</v>
      </c>
      <c r="V8" s="8" t="s">
        <v>161</v>
      </c>
      <c r="W8" s="8" t="s">
        <v>92</v>
      </c>
      <c r="X8" s="8" t="s">
        <v>162</v>
      </c>
      <c r="Y8" s="8">
        <v>31379623</v>
      </c>
      <c r="Z8" s="8" t="s">
        <v>163</v>
      </c>
      <c r="AA8" s="8" t="s">
        <v>164</v>
      </c>
      <c r="AB8" s="8" t="str">
        <f>HYPERLINK("https%3A%2F%2Fwww.webofscience.com%2Fwos%2Fwoscc%2Ffull-record%2FWOS:000476866200001","View Full Record in Web of Science")</f>
        <v>View Full Record in Web of Science</v>
      </c>
    </row>
    <row r="9" spans="1:28" ht="28.8" x14ac:dyDescent="0.3">
      <c r="A9" s="16">
        <v>7</v>
      </c>
      <c r="B9" s="21" t="s">
        <v>166</v>
      </c>
      <c r="C9" s="21" t="s">
        <v>167</v>
      </c>
      <c r="D9" s="32" t="s">
        <v>24</v>
      </c>
      <c r="E9" s="8" t="s">
        <v>25</v>
      </c>
      <c r="F9" s="8" t="s">
        <v>26</v>
      </c>
      <c r="G9" s="8" t="s">
        <v>168</v>
      </c>
      <c r="H9" s="8" t="s">
        <v>169</v>
      </c>
      <c r="I9" s="8" t="s">
        <v>172</v>
      </c>
      <c r="J9" s="8">
        <v>209</v>
      </c>
      <c r="K9" s="8">
        <v>258</v>
      </c>
      <c r="L9" s="8">
        <v>6</v>
      </c>
      <c r="M9" s="8">
        <v>58</v>
      </c>
      <c r="N9" s="8" t="s">
        <v>35</v>
      </c>
      <c r="O9" s="8" t="s">
        <v>38</v>
      </c>
      <c r="P9" s="8" t="s">
        <v>21</v>
      </c>
      <c r="Q9" s="8" t="s">
        <v>40</v>
      </c>
      <c r="R9" s="8" t="s">
        <v>41</v>
      </c>
      <c r="S9" s="8">
        <v>2007</v>
      </c>
      <c r="T9" s="8" t="s">
        <v>177</v>
      </c>
      <c r="U9" s="8" t="str">
        <f>HYPERLINK("http://dx.doi.org/10.1007/s10803-006-0189-8","http://dx.doi.org/10.1007/s10803-006-0189-8")</f>
        <v>http://dx.doi.org/10.1007/s10803-006-0189-8</v>
      </c>
      <c r="V9" s="8" t="s">
        <v>44</v>
      </c>
      <c r="W9" s="8" t="s">
        <v>45</v>
      </c>
      <c r="X9" s="8" t="s">
        <v>178</v>
      </c>
      <c r="Y9" s="8">
        <v>16900403</v>
      </c>
      <c r="Z9" s="8" t="s">
        <v>21</v>
      </c>
      <c r="AA9" s="8" t="s">
        <v>179</v>
      </c>
      <c r="AB9" s="8" t="str">
        <f>HYPERLINK("https%3A%2F%2Fwww.webofscience.com%2Fwos%2Fwoscc%2Ffull-record%2FWOS:000244689500018","View Full Record in Web of Science")</f>
        <v>View Full Record in Web of Science</v>
      </c>
    </row>
    <row r="10" spans="1:28" ht="43.2" x14ac:dyDescent="0.3">
      <c r="A10" s="17">
        <v>8</v>
      </c>
      <c r="B10" s="21" t="s">
        <v>181</v>
      </c>
      <c r="C10" s="21" t="s">
        <v>182</v>
      </c>
      <c r="D10" s="32" t="s">
        <v>183</v>
      </c>
      <c r="E10" s="8" t="s">
        <v>25</v>
      </c>
      <c r="F10" s="8" t="s">
        <v>76</v>
      </c>
      <c r="G10" s="8" t="s">
        <v>184</v>
      </c>
      <c r="H10" s="8" t="s">
        <v>185</v>
      </c>
      <c r="I10" s="8" t="s">
        <v>188</v>
      </c>
      <c r="J10" s="8">
        <v>207</v>
      </c>
      <c r="K10" s="8">
        <v>224</v>
      </c>
      <c r="L10" s="8">
        <v>18</v>
      </c>
      <c r="M10" s="8">
        <v>160</v>
      </c>
      <c r="N10" s="8" t="s">
        <v>193</v>
      </c>
      <c r="O10" s="8" t="s">
        <v>21</v>
      </c>
      <c r="P10" s="8" t="s">
        <v>196</v>
      </c>
      <c r="Q10" s="8" t="s">
        <v>197</v>
      </c>
      <c r="R10" s="8" t="s">
        <v>198</v>
      </c>
      <c r="S10" s="8">
        <v>2018</v>
      </c>
      <c r="T10" s="8" t="s">
        <v>200</v>
      </c>
      <c r="U10" s="8" t="str">
        <f>HYPERLINK("http://dx.doi.org/10.3390/s18082486","http://dx.doi.org/10.3390/s18082486")</f>
        <v>http://dx.doi.org/10.3390/s18082486</v>
      </c>
      <c r="V10" s="8" t="s">
        <v>201</v>
      </c>
      <c r="W10" s="8" t="s">
        <v>92</v>
      </c>
      <c r="X10" s="8" t="s">
        <v>203</v>
      </c>
      <c r="Y10" s="8">
        <v>30071588</v>
      </c>
      <c r="Z10" s="8" t="s">
        <v>204</v>
      </c>
      <c r="AA10" s="8" t="s">
        <v>205</v>
      </c>
      <c r="AB10" s="8" t="str">
        <f>HYPERLINK("https%3A%2F%2Fwww.webofscience.com%2Fwos%2Fwoscc%2Ffull-record%2FWOS:000445712400086","View Full Record in Web of Science")</f>
        <v>View Full Record in Web of Science</v>
      </c>
    </row>
    <row r="11" spans="1:28" ht="28.8" x14ac:dyDescent="0.3">
      <c r="A11" s="16">
        <v>9</v>
      </c>
      <c r="B11" s="21" t="s">
        <v>206</v>
      </c>
      <c r="C11" s="21" t="s">
        <v>207</v>
      </c>
      <c r="D11" s="32" t="s">
        <v>24</v>
      </c>
      <c r="E11" s="8" t="s">
        <v>25</v>
      </c>
      <c r="F11" s="8" t="s">
        <v>26</v>
      </c>
      <c r="G11" s="8" t="s">
        <v>208</v>
      </c>
      <c r="H11" s="8" t="s">
        <v>209</v>
      </c>
      <c r="I11" s="8" t="s">
        <v>81</v>
      </c>
      <c r="J11" s="8">
        <v>174</v>
      </c>
      <c r="K11" s="8">
        <v>203</v>
      </c>
      <c r="L11" s="8">
        <v>2</v>
      </c>
      <c r="M11" s="8">
        <v>51</v>
      </c>
      <c r="N11" s="8" t="s">
        <v>35</v>
      </c>
      <c r="O11" s="8" t="s">
        <v>38</v>
      </c>
      <c r="P11" s="8" t="s">
        <v>39</v>
      </c>
      <c r="Q11" s="8" t="s">
        <v>40</v>
      </c>
      <c r="R11" s="8" t="s">
        <v>41</v>
      </c>
      <c r="S11" s="8">
        <v>2004</v>
      </c>
      <c r="T11" s="8" t="s">
        <v>213</v>
      </c>
      <c r="U11" s="8" t="str">
        <f>HYPERLINK("http://dx.doi.org/10.1023/B:JADD.0000037421.98517.8d","http://dx.doi.org/10.1023/B:JADD.0000037421.98517.8d")</f>
        <v>http://dx.doi.org/10.1023/B:JADD.0000037421.98517.8d</v>
      </c>
      <c r="V11" s="8" t="s">
        <v>44</v>
      </c>
      <c r="W11" s="8" t="s">
        <v>45</v>
      </c>
      <c r="X11" s="8" t="s">
        <v>214</v>
      </c>
      <c r="Y11" s="8">
        <v>15449520</v>
      </c>
      <c r="Z11" s="8" t="s">
        <v>21</v>
      </c>
      <c r="AA11" s="8" t="s">
        <v>215</v>
      </c>
      <c r="AB11" s="8" t="str">
        <f>HYPERLINK("https%3A%2F%2Fwww.webofscience.com%2Fwos%2Fwoscc%2Ffull-record%2FWOS:000223205500008","View Full Record in Web of Science")</f>
        <v>View Full Record in Web of Science</v>
      </c>
    </row>
    <row r="12" spans="1:28" ht="28.8" x14ac:dyDescent="0.3">
      <c r="A12" s="17">
        <v>10</v>
      </c>
      <c r="B12" s="21" t="s">
        <v>217</v>
      </c>
      <c r="C12" s="21" t="s">
        <v>218</v>
      </c>
      <c r="D12" s="32" t="s">
        <v>24</v>
      </c>
      <c r="E12" s="8" t="s">
        <v>25</v>
      </c>
      <c r="F12" s="8" t="s">
        <v>26</v>
      </c>
      <c r="G12" s="8" t="s">
        <v>219</v>
      </c>
      <c r="H12" s="8" t="s">
        <v>220</v>
      </c>
      <c r="I12" s="8" t="s">
        <v>223</v>
      </c>
      <c r="J12" s="8">
        <v>166</v>
      </c>
      <c r="K12" s="8">
        <v>214</v>
      </c>
      <c r="L12" s="8">
        <v>8</v>
      </c>
      <c r="M12" s="8">
        <v>89</v>
      </c>
      <c r="N12" s="8" t="s">
        <v>35</v>
      </c>
      <c r="O12" s="8" t="s">
        <v>38</v>
      </c>
      <c r="P12" s="8" t="s">
        <v>39</v>
      </c>
      <c r="Q12" s="8" t="s">
        <v>40</v>
      </c>
      <c r="R12" s="8" t="s">
        <v>41</v>
      </c>
      <c r="S12" s="8">
        <v>2013</v>
      </c>
      <c r="T12" s="8" t="s">
        <v>226</v>
      </c>
      <c r="U12" s="8" t="str">
        <f>HYPERLINK("http://dx.doi.org/10.1007/s10803-013-1800-4","http://dx.doi.org/10.1007/s10803-013-1800-4")</f>
        <v>http://dx.doi.org/10.1007/s10803-013-1800-4</v>
      </c>
      <c r="V12" s="8" t="s">
        <v>44</v>
      </c>
      <c r="W12" s="8" t="s">
        <v>45</v>
      </c>
      <c r="X12" s="8" t="s">
        <v>227</v>
      </c>
      <c r="Y12" s="8">
        <v>23494559</v>
      </c>
      <c r="Z12" s="8" t="s">
        <v>137</v>
      </c>
      <c r="AA12" s="8" t="s">
        <v>228</v>
      </c>
      <c r="AB12" s="8" t="str">
        <f>HYPERLINK("https%3A%2F%2Fwww.webofscience.com%2Fwos%2Fwoscc%2Ffull-record%2FWOS:000324341500022","View Full Record in Web of Science")</f>
        <v>View Full Record in Web of Science</v>
      </c>
    </row>
    <row r="13" spans="1:28" ht="28.8" x14ac:dyDescent="0.3">
      <c r="A13" s="16">
        <v>11</v>
      </c>
      <c r="B13" s="21" t="s">
        <v>232</v>
      </c>
      <c r="C13" s="21" t="s">
        <v>233</v>
      </c>
      <c r="D13" s="32" t="s">
        <v>234</v>
      </c>
      <c r="E13" s="8" t="s">
        <v>25</v>
      </c>
      <c r="F13" s="8" t="s">
        <v>236</v>
      </c>
      <c r="G13" s="8" t="s">
        <v>241</v>
      </c>
      <c r="H13" s="8" t="s">
        <v>242</v>
      </c>
      <c r="I13" s="8" t="s">
        <v>245</v>
      </c>
      <c r="J13" s="8">
        <v>160</v>
      </c>
      <c r="K13" s="8">
        <v>186</v>
      </c>
      <c r="L13" s="8">
        <v>1</v>
      </c>
      <c r="M13" s="8">
        <v>50</v>
      </c>
      <c r="N13" s="8" t="s">
        <v>251</v>
      </c>
      <c r="O13" s="8" t="s">
        <v>254</v>
      </c>
      <c r="P13" s="8" t="s">
        <v>21</v>
      </c>
      <c r="Q13" s="8" t="s">
        <v>256</v>
      </c>
      <c r="R13" s="8" t="s">
        <v>257</v>
      </c>
      <c r="S13" s="8">
        <v>2008</v>
      </c>
      <c r="T13" s="8" t="s">
        <v>258</v>
      </c>
      <c r="U13" s="8" t="str">
        <f>HYPERLINK("http://dx.doi.org/10.1196/annals.1416.007","http://dx.doi.org/10.1196/annals.1416.007")</f>
        <v>http://dx.doi.org/10.1196/annals.1416.007</v>
      </c>
      <c r="V13" s="8" t="s">
        <v>259</v>
      </c>
      <c r="W13" s="8" t="s">
        <v>260</v>
      </c>
      <c r="X13" s="8" t="s">
        <v>262</v>
      </c>
      <c r="Y13" s="8">
        <v>19076404</v>
      </c>
      <c r="Z13" s="8" t="s">
        <v>137</v>
      </c>
      <c r="AA13" s="8" t="s">
        <v>263</v>
      </c>
      <c r="AB13" s="8" t="str">
        <f>HYPERLINK("https%3A%2F%2Fwww.webofscience.com%2Fwos%2Fwoscc%2Ffull-record%2FWOS:000262097100020","View Full Record in Web of Science")</f>
        <v>View Full Record in Web of Science</v>
      </c>
    </row>
    <row r="14" spans="1:28" ht="28.8" x14ac:dyDescent="0.3">
      <c r="A14" s="17">
        <v>12</v>
      </c>
      <c r="B14" s="21" t="s">
        <v>264</v>
      </c>
      <c r="C14" s="21" t="s">
        <v>265</v>
      </c>
      <c r="D14" s="32" t="s">
        <v>24</v>
      </c>
      <c r="E14" s="8" t="s">
        <v>25</v>
      </c>
      <c r="F14" s="8" t="s">
        <v>26</v>
      </c>
      <c r="G14" s="8" t="s">
        <v>21</v>
      </c>
      <c r="H14" s="8" t="s">
        <v>21</v>
      </c>
      <c r="I14" s="8" t="s">
        <v>267</v>
      </c>
      <c r="J14" s="8">
        <v>158</v>
      </c>
      <c r="K14" s="8">
        <v>177</v>
      </c>
      <c r="L14" s="8">
        <v>1</v>
      </c>
      <c r="M14" s="8">
        <v>23</v>
      </c>
      <c r="N14" s="8" t="s">
        <v>35</v>
      </c>
      <c r="O14" s="8" t="s">
        <v>38</v>
      </c>
      <c r="P14" s="8" t="s">
        <v>21</v>
      </c>
      <c r="Q14" s="8" t="s">
        <v>40</v>
      </c>
      <c r="R14" s="8" t="s">
        <v>41</v>
      </c>
      <c r="S14" s="8">
        <v>1996</v>
      </c>
      <c r="T14" s="8" t="s">
        <v>270</v>
      </c>
      <c r="U14" s="8" t="str">
        <f>HYPERLINK("http://dx.doi.org/10.1007/BF02172354","http://dx.doi.org/10.1007/BF02172354")</f>
        <v>http://dx.doi.org/10.1007/BF02172354</v>
      </c>
      <c r="V14" s="8" t="s">
        <v>44</v>
      </c>
      <c r="W14" s="8" t="s">
        <v>45</v>
      </c>
      <c r="X14" s="8" t="s">
        <v>271</v>
      </c>
      <c r="Y14" s="8">
        <v>8986851</v>
      </c>
      <c r="Z14" s="8" t="s">
        <v>21</v>
      </c>
      <c r="AA14" s="8" t="s">
        <v>272</v>
      </c>
      <c r="AB14" s="8" t="str">
        <f>HYPERLINK("https%3A%2F%2Fwww.webofscience.com%2Fwos%2Fwoscc%2Ffull-record%2FWOS:A1996VY26100008","View Full Record in Web of Science")</f>
        <v>View Full Record in Web of Science</v>
      </c>
    </row>
    <row r="15" spans="1:28" ht="28.8" x14ac:dyDescent="0.3">
      <c r="A15" s="16">
        <v>13</v>
      </c>
      <c r="B15" s="21" t="s">
        <v>274</v>
      </c>
      <c r="C15" s="21" t="s">
        <v>275</v>
      </c>
      <c r="D15" s="32" t="s">
        <v>276</v>
      </c>
      <c r="E15" s="8" t="s">
        <v>25</v>
      </c>
      <c r="F15" s="8" t="s">
        <v>26</v>
      </c>
      <c r="G15" s="8" t="s">
        <v>277</v>
      </c>
      <c r="H15" s="8" t="s">
        <v>278</v>
      </c>
      <c r="I15" s="8" t="s">
        <v>281</v>
      </c>
      <c r="J15" s="8">
        <v>155</v>
      </c>
      <c r="K15" s="8">
        <v>169</v>
      </c>
      <c r="L15" s="8">
        <v>27</v>
      </c>
      <c r="M15" s="8">
        <v>213</v>
      </c>
      <c r="N15" s="8" t="s">
        <v>110</v>
      </c>
      <c r="O15" s="8" t="s">
        <v>286</v>
      </c>
      <c r="P15" s="8" t="s">
        <v>287</v>
      </c>
      <c r="Q15" s="8" t="s">
        <v>288</v>
      </c>
      <c r="R15" s="8" t="s">
        <v>289</v>
      </c>
      <c r="S15" s="8">
        <v>2016</v>
      </c>
      <c r="T15" s="8" t="s">
        <v>291</v>
      </c>
      <c r="U15" s="8" t="str">
        <f>HYPERLINK("http://dx.doi.org/10.1016/j.compedu.2016.03.018","http://dx.doi.org/10.1016/j.compedu.2016.03.018")</f>
        <v>http://dx.doi.org/10.1016/j.compedu.2016.03.018</v>
      </c>
      <c r="V15" s="8" t="s">
        <v>292</v>
      </c>
      <c r="W15" s="8" t="s">
        <v>92</v>
      </c>
      <c r="X15" s="8" t="s">
        <v>294</v>
      </c>
      <c r="Y15" s="8" t="s">
        <v>21</v>
      </c>
      <c r="Z15" s="8" t="s">
        <v>137</v>
      </c>
      <c r="AA15" s="8" t="s">
        <v>295</v>
      </c>
      <c r="AB15" s="8" t="str">
        <f>HYPERLINK("https%3A%2F%2Fwww.webofscience.com%2Fwos%2Fwoscc%2Ffull-record%2FWOS:000376212900015","View Full Record in Web of Science")</f>
        <v>View Full Record in Web of Science</v>
      </c>
    </row>
    <row r="16" spans="1:28" ht="28.8" x14ac:dyDescent="0.3">
      <c r="A16" s="17">
        <v>14</v>
      </c>
      <c r="B16" s="21" t="s">
        <v>297</v>
      </c>
      <c r="C16" s="21" t="s">
        <v>298</v>
      </c>
      <c r="D16" s="32" t="s">
        <v>299</v>
      </c>
      <c r="E16" s="8" t="s">
        <v>25</v>
      </c>
      <c r="F16" s="8" t="s">
        <v>26</v>
      </c>
      <c r="G16" s="8" t="s">
        <v>300</v>
      </c>
      <c r="H16" s="8" t="s">
        <v>301</v>
      </c>
      <c r="I16" s="8" t="s">
        <v>304</v>
      </c>
      <c r="J16" s="8">
        <v>154</v>
      </c>
      <c r="K16" s="8">
        <v>175</v>
      </c>
      <c r="L16" s="8">
        <v>6</v>
      </c>
      <c r="M16" s="8">
        <v>71</v>
      </c>
      <c r="N16" s="8" t="s">
        <v>309</v>
      </c>
      <c r="O16" s="8" t="s">
        <v>312</v>
      </c>
      <c r="P16" s="8" t="s">
        <v>313</v>
      </c>
      <c r="Q16" s="8" t="s">
        <v>314</v>
      </c>
      <c r="R16" s="8" t="s">
        <v>315</v>
      </c>
      <c r="S16" s="8">
        <v>2011</v>
      </c>
      <c r="T16" s="8" t="s">
        <v>316</v>
      </c>
      <c r="U16" s="8" t="str">
        <f>HYPERLINK("http://dx.doi.org/10.1017/S2045796011000448","http://dx.doi.org/10.1017/S2045796011000448")</f>
        <v>http://dx.doi.org/10.1017/S2045796011000448</v>
      </c>
      <c r="V16" s="8" t="s">
        <v>161</v>
      </c>
      <c r="W16" s="8" t="s">
        <v>45</v>
      </c>
      <c r="X16" s="8" t="s">
        <v>317</v>
      </c>
      <c r="Y16" s="8">
        <v>21922965</v>
      </c>
      <c r="Z16" s="8" t="s">
        <v>95</v>
      </c>
      <c r="AA16" s="8" t="s">
        <v>318</v>
      </c>
      <c r="AB16" s="8" t="str">
        <f>HYPERLINK("https%3A%2F%2Fwww.webofscience.com%2Fwos%2Fwoscc%2Ffull-record%2FWOS:000298052600006","View Full Record in Web of Science")</f>
        <v>View Full Record in Web of Science</v>
      </c>
    </row>
    <row r="17" spans="1:28" ht="57.6" x14ac:dyDescent="0.3">
      <c r="A17" s="16">
        <v>15</v>
      </c>
      <c r="B17" s="21" t="s">
        <v>320</v>
      </c>
      <c r="C17" s="21" t="s">
        <v>321</v>
      </c>
      <c r="D17" s="32" t="s">
        <v>276</v>
      </c>
      <c r="E17" s="8" t="s">
        <v>25</v>
      </c>
      <c r="F17" s="8" t="s">
        <v>26</v>
      </c>
      <c r="G17" s="8" t="s">
        <v>322</v>
      </c>
      <c r="H17" s="8" t="s">
        <v>323</v>
      </c>
      <c r="I17" s="8" t="s">
        <v>326</v>
      </c>
      <c r="J17" s="8">
        <v>152</v>
      </c>
      <c r="K17" s="8">
        <v>173</v>
      </c>
      <c r="L17" s="8">
        <v>41</v>
      </c>
      <c r="M17" s="8">
        <v>302</v>
      </c>
      <c r="N17" s="8" t="s">
        <v>110</v>
      </c>
      <c r="O17" s="8" t="s">
        <v>286</v>
      </c>
      <c r="P17" s="8" t="s">
        <v>287</v>
      </c>
      <c r="Q17" s="8" t="s">
        <v>288</v>
      </c>
      <c r="R17" s="8" t="s">
        <v>289</v>
      </c>
      <c r="S17" s="8">
        <v>2018</v>
      </c>
      <c r="T17" s="8" t="s">
        <v>335</v>
      </c>
      <c r="U17" s="8" t="str">
        <f>HYPERLINK("http://dx.doi.org/10.1016/j.compedu.2017.09.010","http://dx.doi.org/10.1016/j.compedu.2017.09.010")</f>
        <v>http://dx.doi.org/10.1016/j.compedu.2017.09.010</v>
      </c>
      <c r="V17" s="8" t="s">
        <v>292</v>
      </c>
      <c r="W17" s="8" t="s">
        <v>92</v>
      </c>
      <c r="X17" s="8" t="s">
        <v>336</v>
      </c>
      <c r="Y17" s="8" t="s">
        <v>21</v>
      </c>
      <c r="Z17" s="8" t="s">
        <v>21</v>
      </c>
      <c r="AA17" s="8" t="s">
        <v>337</v>
      </c>
      <c r="AB17" s="8" t="str">
        <f>HYPERLINK("https%3A%2F%2Fwww.webofscience.com%2Fwos%2Fwoscc%2Ffull-record%2FWOS:000418968600001","View Full Record in Web of Science")</f>
        <v>View Full Record in Web of Science</v>
      </c>
    </row>
    <row r="18" spans="1:28" ht="28.8" x14ac:dyDescent="0.3">
      <c r="A18" s="17">
        <v>16</v>
      </c>
      <c r="B18" s="21" t="s">
        <v>338</v>
      </c>
      <c r="C18" s="21" t="s">
        <v>339</v>
      </c>
      <c r="D18" s="32" t="s">
        <v>340</v>
      </c>
      <c r="E18" s="8" t="s">
        <v>25</v>
      </c>
      <c r="F18" s="8" t="s">
        <v>76</v>
      </c>
      <c r="G18" s="8" t="s">
        <v>21</v>
      </c>
      <c r="H18" s="8" t="s">
        <v>341</v>
      </c>
      <c r="I18" s="8" t="s">
        <v>344</v>
      </c>
      <c r="J18" s="8">
        <v>148</v>
      </c>
      <c r="K18" s="8">
        <v>177</v>
      </c>
      <c r="L18" s="8">
        <v>2</v>
      </c>
      <c r="M18" s="8">
        <v>85</v>
      </c>
      <c r="N18" s="8" t="s">
        <v>349</v>
      </c>
      <c r="O18" s="8" t="s">
        <v>352</v>
      </c>
      <c r="P18" s="8" t="s">
        <v>21</v>
      </c>
      <c r="Q18" s="8" t="s">
        <v>353</v>
      </c>
      <c r="R18" s="8" t="s">
        <v>354</v>
      </c>
      <c r="S18" s="8">
        <v>2005</v>
      </c>
      <c r="T18" s="8" t="s">
        <v>355</v>
      </c>
      <c r="U18" s="8" t="str">
        <f>HYPERLINK("http://dx.doi.org/10.1089/cpb.2005.8.272","http://dx.doi.org/10.1089/cpb.2005.8.272")</f>
        <v>http://dx.doi.org/10.1089/cpb.2005.8.272</v>
      </c>
      <c r="V18" s="8" t="s">
        <v>356</v>
      </c>
      <c r="W18" s="8" t="s">
        <v>45</v>
      </c>
      <c r="X18" s="8" t="s">
        <v>358</v>
      </c>
      <c r="Y18" s="8">
        <v>15971976</v>
      </c>
      <c r="Z18" s="8" t="s">
        <v>21</v>
      </c>
      <c r="AA18" s="8" t="s">
        <v>359</v>
      </c>
      <c r="AB18" s="8" t="str">
        <f>HYPERLINK("https%3A%2F%2Fwww.webofscience.com%2Fwos%2Fwoscc%2Ffull-record%2FWOS:000229961400022","View Full Record in Web of Science")</f>
        <v>View Full Record in Web of Science</v>
      </c>
    </row>
    <row r="19" spans="1:28" ht="28.8" x14ac:dyDescent="0.3">
      <c r="A19" s="16">
        <v>17</v>
      </c>
      <c r="B19" s="21" t="s">
        <v>362</v>
      </c>
      <c r="C19" s="21" t="s">
        <v>363</v>
      </c>
      <c r="D19" s="32" t="s">
        <v>364</v>
      </c>
      <c r="E19" s="8" t="s">
        <v>25</v>
      </c>
      <c r="F19" s="8" t="s">
        <v>366</v>
      </c>
      <c r="G19" s="8" t="s">
        <v>367</v>
      </c>
      <c r="H19" s="8" t="s">
        <v>368</v>
      </c>
      <c r="I19" s="8" t="s">
        <v>371</v>
      </c>
      <c r="J19" s="8">
        <v>145</v>
      </c>
      <c r="K19" s="8">
        <v>154</v>
      </c>
      <c r="L19" s="8">
        <v>97</v>
      </c>
      <c r="M19" s="8">
        <v>482</v>
      </c>
      <c r="N19" s="8" t="s">
        <v>375</v>
      </c>
      <c r="O19" s="8" t="s">
        <v>378</v>
      </c>
      <c r="P19" s="8" t="s">
        <v>21</v>
      </c>
      <c r="Q19" s="8" t="s">
        <v>379</v>
      </c>
      <c r="R19" s="8" t="s">
        <v>380</v>
      </c>
      <c r="S19" s="8">
        <v>2021</v>
      </c>
      <c r="T19" s="8" t="s">
        <v>381</v>
      </c>
      <c r="U19" s="8" t="str">
        <f>HYPERLINK("http://dx.doi.org/10.1146/annurev-clinpsy-081219-115923","http://dx.doi.org/10.1146/annurev-clinpsy-081219-115923")</f>
        <v>http://dx.doi.org/10.1146/annurev-clinpsy-081219-115923</v>
      </c>
      <c r="V19" s="8" t="s">
        <v>382</v>
      </c>
      <c r="W19" s="8" t="s">
        <v>383</v>
      </c>
      <c r="X19" s="8" t="s">
        <v>384</v>
      </c>
      <c r="Y19" s="8">
        <v>33606946</v>
      </c>
      <c r="Z19" s="8" t="s">
        <v>385</v>
      </c>
      <c r="AA19" s="8" t="s">
        <v>386</v>
      </c>
      <c r="AB19" s="8" t="str">
        <f>HYPERLINK("https%3A%2F%2Fwww.webofscience.com%2Fwos%2Fwoscc%2Ffull-record%2FWOS:000652495100020","View Full Record in Web of Science")</f>
        <v>View Full Record in Web of Science</v>
      </c>
    </row>
    <row r="20" spans="1:28" ht="43.2" x14ac:dyDescent="0.3">
      <c r="A20" s="17">
        <v>18</v>
      </c>
      <c r="B20" s="21" t="s">
        <v>388</v>
      </c>
      <c r="C20" s="21" t="s">
        <v>389</v>
      </c>
      <c r="D20" s="32" t="s">
        <v>390</v>
      </c>
      <c r="E20" s="8" t="s">
        <v>25</v>
      </c>
      <c r="F20" s="8" t="s">
        <v>76</v>
      </c>
      <c r="G20" s="8" t="s">
        <v>391</v>
      </c>
      <c r="H20" s="8" t="s">
        <v>392</v>
      </c>
      <c r="I20" s="8" t="s">
        <v>395</v>
      </c>
      <c r="J20" s="8">
        <v>145</v>
      </c>
      <c r="K20" s="8">
        <v>167</v>
      </c>
      <c r="L20" s="8">
        <v>2</v>
      </c>
      <c r="M20" s="8">
        <v>114</v>
      </c>
      <c r="N20" s="8" t="s">
        <v>193</v>
      </c>
      <c r="O20" s="8" t="s">
        <v>21</v>
      </c>
      <c r="P20" s="8" t="s">
        <v>402</v>
      </c>
      <c r="Q20" s="8" t="s">
        <v>403</v>
      </c>
      <c r="R20" s="8" t="s">
        <v>404</v>
      </c>
      <c r="S20" s="8">
        <v>2014</v>
      </c>
      <c r="T20" s="8" t="s">
        <v>405</v>
      </c>
      <c r="U20" s="8" t="str">
        <f>HYPERLINK("http://dx.doi.org/10.3390/ijerph110807767","http://dx.doi.org/10.3390/ijerph110807767")</f>
        <v>http://dx.doi.org/10.3390/ijerph110807767</v>
      </c>
      <c r="V20" s="8" t="s">
        <v>406</v>
      </c>
      <c r="W20" s="8" t="s">
        <v>92</v>
      </c>
      <c r="X20" s="8" t="s">
        <v>408</v>
      </c>
      <c r="Y20" s="8">
        <v>25093654</v>
      </c>
      <c r="Z20" s="8" t="s">
        <v>409</v>
      </c>
      <c r="AA20" s="8" t="s">
        <v>410</v>
      </c>
      <c r="AB20" s="8" t="str">
        <f>HYPERLINK("https%3A%2F%2Fwww.webofscience.com%2Fwos%2Fwoscc%2Ffull-record%2FWOS:000341101700015","View Full Record in Web of Science")</f>
        <v>View Full Record in Web of Science</v>
      </c>
    </row>
    <row r="21" spans="1:28" ht="28.8" x14ac:dyDescent="0.3">
      <c r="A21" s="16">
        <v>19</v>
      </c>
      <c r="B21" s="21" t="s">
        <v>412</v>
      </c>
      <c r="C21" s="21" t="s">
        <v>413</v>
      </c>
      <c r="D21" s="32" t="s">
        <v>414</v>
      </c>
      <c r="E21" s="8" t="s">
        <v>25</v>
      </c>
      <c r="F21" s="8" t="s">
        <v>76</v>
      </c>
      <c r="G21" s="8" t="s">
        <v>415</v>
      </c>
      <c r="H21" s="8" t="s">
        <v>416</v>
      </c>
      <c r="I21" s="8" t="s">
        <v>419</v>
      </c>
      <c r="J21" s="8">
        <v>142</v>
      </c>
      <c r="K21" s="8">
        <v>175</v>
      </c>
      <c r="L21" s="8">
        <v>1</v>
      </c>
      <c r="M21" s="8">
        <v>76</v>
      </c>
      <c r="N21" s="8" t="s">
        <v>424</v>
      </c>
      <c r="O21" s="8" t="s">
        <v>427</v>
      </c>
      <c r="P21" s="8" t="s">
        <v>428</v>
      </c>
      <c r="Q21" s="8" t="s">
        <v>429</v>
      </c>
      <c r="R21" s="8" t="s">
        <v>430</v>
      </c>
      <c r="S21" s="8">
        <v>2011</v>
      </c>
      <c r="T21" s="8" t="s">
        <v>432</v>
      </c>
      <c r="U21" s="8" t="str">
        <f>HYPERLINK("http://dx.doi.org/10.1016/j.rasd.2010.08.002","http://dx.doi.org/10.1016/j.rasd.2010.08.002")</f>
        <v>http://dx.doi.org/10.1016/j.rasd.2010.08.002</v>
      </c>
      <c r="V21" s="8" t="s">
        <v>433</v>
      </c>
      <c r="W21" s="8" t="s">
        <v>45</v>
      </c>
      <c r="X21" s="8" t="s">
        <v>435</v>
      </c>
      <c r="Y21" s="8" t="s">
        <v>21</v>
      </c>
      <c r="Z21" s="8" t="s">
        <v>21</v>
      </c>
      <c r="AA21" s="8" t="s">
        <v>436</v>
      </c>
      <c r="AB21" s="8" t="str">
        <f>HYPERLINK("https%3A%2F%2Fwww.webofscience.com%2Fwos%2Fwoscc%2Ffull-record%2FWOS:000283953800008","View Full Record in Web of Science")</f>
        <v>View Full Record in Web of Science</v>
      </c>
    </row>
    <row r="22" spans="1:28" ht="28.8" x14ac:dyDescent="0.3">
      <c r="A22" s="17">
        <v>20</v>
      </c>
      <c r="B22" s="21" t="s">
        <v>438</v>
      </c>
      <c r="C22" s="21" t="s">
        <v>439</v>
      </c>
      <c r="D22" s="32" t="s">
        <v>440</v>
      </c>
      <c r="E22" s="8" t="s">
        <v>25</v>
      </c>
      <c r="F22" s="8" t="s">
        <v>76</v>
      </c>
      <c r="G22" s="8" t="s">
        <v>441</v>
      </c>
      <c r="H22" s="8" t="s">
        <v>442</v>
      </c>
      <c r="I22" s="8" t="s">
        <v>445</v>
      </c>
      <c r="J22" s="8">
        <v>132</v>
      </c>
      <c r="K22" s="8">
        <v>150</v>
      </c>
      <c r="L22" s="8">
        <v>1</v>
      </c>
      <c r="M22" s="8">
        <v>84</v>
      </c>
      <c r="N22" s="8" t="s">
        <v>452</v>
      </c>
      <c r="O22" s="8" t="s">
        <v>454</v>
      </c>
      <c r="P22" s="8" t="s">
        <v>455</v>
      </c>
      <c r="Q22" s="8" t="s">
        <v>440</v>
      </c>
      <c r="R22" s="8" t="s">
        <v>456</v>
      </c>
      <c r="S22" s="8">
        <v>2011</v>
      </c>
      <c r="T22" s="8" t="s">
        <v>457</v>
      </c>
      <c r="U22" s="8" t="str">
        <f>HYPERLINK("http://dx.doi.org/10.1159/000320847","http://dx.doi.org/10.1159/000320847")</f>
        <v>http://dx.doi.org/10.1159/000320847</v>
      </c>
      <c r="V22" s="8" t="s">
        <v>458</v>
      </c>
      <c r="W22" s="8" t="s">
        <v>92</v>
      </c>
      <c r="X22" s="8" t="s">
        <v>460</v>
      </c>
      <c r="Y22" s="8">
        <v>21088430</v>
      </c>
      <c r="Z22" s="8" t="s">
        <v>95</v>
      </c>
      <c r="AA22" s="8" t="s">
        <v>461</v>
      </c>
      <c r="AB22" s="8" t="str">
        <f>HYPERLINK("https%3A%2F%2Fwww.webofscience.com%2Fwos%2Fwoscc%2Ffull-record%2FWOS:000286428000002","View Full Record in Web of Science")</f>
        <v>View Full Record in Web of Science</v>
      </c>
    </row>
    <row r="23" spans="1:28" ht="28.8" x14ac:dyDescent="0.3">
      <c r="A23" s="16">
        <v>21</v>
      </c>
      <c r="B23" s="21" t="s">
        <v>463</v>
      </c>
      <c r="C23" s="21" t="s">
        <v>464</v>
      </c>
      <c r="D23" s="32" t="s">
        <v>183</v>
      </c>
      <c r="E23" s="8" t="s">
        <v>25</v>
      </c>
      <c r="F23" s="8" t="s">
        <v>76</v>
      </c>
      <c r="G23" s="8" t="s">
        <v>465</v>
      </c>
      <c r="H23" s="8" t="s">
        <v>466</v>
      </c>
      <c r="I23" s="8" t="s">
        <v>469</v>
      </c>
      <c r="J23" s="8">
        <v>122</v>
      </c>
      <c r="K23" s="8">
        <v>135</v>
      </c>
      <c r="L23" s="8">
        <v>4</v>
      </c>
      <c r="M23" s="8">
        <v>103</v>
      </c>
      <c r="N23" s="8" t="s">
        <v>193</v>
      </c>
      <c r="O23" s="8" t="s">
        <v>21</v>
      </c>
      <c r="P23" s="8" t="s">
        <v>196</v>
      </c>
      <c r="Q23" s="8" t="s">
        <v>197</v>
      </c>
      <c r="R23" s="8" t="s">
        <v>198</v>
      </c>
      <c r="S23" s="8">
        <v>2019</v>
      </c>
      <c r="T23" s="8" t="s">
        <v>477</v>
      </c>
      <c r="U23" s="8" t="str">
        <f>HYPERLINK("http://dx.doi.org/10.3390/s19204485","http://dx.doi.org/10.3390/s19204485")</f>
        <v>http://dx.doi.org/10.3390/s19204485</v>
      </c>
      <c r="V23" s="8" t="s">
        <v>201</v>
      </c>
      <c r="W23" s="8" t="s">
        <v>92</v>
      </c>
      <c r="X23" s="8" t="s">
        <v>478</v>
      </c>
      <c r="Y23" s="8">
        <v>31623200</v>
      </c>
      <c r="Z23" s="8" t="s">
        <v>163</v>
      </c>
      <c r="AA23" s="8" t="s">
        <v>479</v>
      </c>
      <c r="AB23" s="8" t="str">
        <f>HYPERLINK("https%3A%2F%2Fwww.webofscience.com%2Fwos%2Fwoscc%2Ffull-record%2FWOS:000497864700133","View Full Record in Web of Science")</f>
        <v>View Full Record in Web of Science</v>
      </c>
    </row>
    <row r="24" spans="1:28" ht="28.8" x14ac:dyDescent="0.3">
      <c r="A24" s="17">
        <v>22</v>
      </c>
      <c r="B24" s="21" t="s">
        <v>481</v>
      </c>
      <c r="C24" s="21" t="s">
        <v>482</v>
      </c>
      <c r="D24" s="32" t="s">
        <v>483</v>
      </c>
      <c r="E24" s="8" t="s">
        <v>25</v>
      </c>
      <c r="F24" s="8" t="s">
        <v>26</v>
      </c>
      <c r="G24" s="8" t="s">
        <v>484</v>
      </c>
      <c r="H24" s="8" t="s">
        <v>485</v>
      </c>
      <c r="I24" s="8" t="s">
        <v>488</v>
      </c>
      <c r="J24" s="8">
        <v>122</v>
      </c>
      <c r="K24" s="8">
        <v>132</v>
      </c>
      <c r="L24" s="8">
        <v>8</v>
      </c>
      <c r="M24" s="8">
        <v>129</v>
      </c>
      <c r="N24" s="8" t="s">
        <v>493</v>
      </c>
      <c r="O24" s="8" t="s">
        <v>496</v>
      </c>
      <c r="P24" s="8" t="s">
        <v>497</v>
      </c>
      <c r="Q24" s="8" t="s">
        <v>498</v>
      </c>
      <c r="R24" s="8" t="s">
        <v>499</v>
      </c>
      <c r="S24" s="8">
        <v>2013</v>
      </c>
      <c r="T24" s="8" t="s">
        <v>502</v>
      </c>
      <c r="U24" s="8" t="str">
        <f>HYPERLINK("http://dx.doi.org/10.1080/00220671.2013.832999","http://dx.doi.org/10.1080/00220671.2013.832999")</f>
        <v>http://dx.doi.org/10.1080/00220671.2013.832999</v>
      </c>
      <c r="V24" s="8" t="s">
        <v>503</v>
      </c>
      <c r="W24" s="8" t="s">
        <v>45</v>
      </c>
      <c r="X24" s="8" t="s">
        <v>504</v>
      </c>
      <c r="Y24" s="8" t="s">
        <v>21</v>
      </c>
      <c r="Z24" s="8" t="s">
        <v>21</v>
      </c>
      <c r="AA24" s="8" t="s">
        <v>505</v>
      </c>
      <c r="AB24" s="8" t="str">
        <f>HYPERLINK("https%3A%2F%2Fwww.webofscience.com%2Fwos%2Fwoscc%2Ffull-record%2FWOS:000324977200004","View Full Record in Web of Science")</f>
        <v>View Full Record in Web of Science</v>
      </c>
    </row>
    <row r="25" spans="1:28" ht="43.2" x14ac:dyDescent="0.3">
      <c r="A25" s="16">
        <v>23</v>
      </c>
      <c r="B25" s="21" t="s">
        <v>507</v>
      </c>
      <c r="C25" s="21" t="s">
        <v>508</v>
      </c>
      <c r="D25" s="32" t="s">
        <v>509</v>
      </c>
      <c r="E25" s="8" t="s">
        <v>25</v>
      </c>
      <c r="F25" s="8" t="s">
        <v>26</v>
      </c>
      <c r="G25" s="8" t="s">
        <v>510</v>
      </c>
      <c r="H25" s="8" t="s">
        <v>511</v>
      </c>
      <c r="I25" s="8" t="s">
        <v>514</v>
      </c>
      <c r="J25" s="8">
        <v>122</v>
      </c>
      <c r="K25" s="8">
        <v>141</v>
      </c>
      <c r="L25" s="8">
        <v>0</v>
      </c>
      <c r="M25" s="8">
        <v>50</v>
      </c>
      <c r="N25" s="8" t="s">
        <v>517</v>
      </c>
      <c r="O25" s="8" t="s">
        <v>520</v>
      </c>
      <c r="P25" s="8" t="s">
        <v>21</v>
      </c>
      <c r="Q25" s="8" t="s">
        <v>521</v>
      </c>
      <c r="R25" s="8" t="s">
        <v>522</v>
      </c>
      <c r="S25" s="8">
        <v>2008</v>
      </c>
      <c r="T25" s="8" t="s">
        <v>21</v>
      </c>
      <c r="U25" s="8" t="s">
        <v>21</v>
      </c>
      <c r="V25" s="8" t="s">
        <v>523</v>
      </c>
      <c r="W25" s="8" t="s">
        <v>524</v>
      </c>
      <c r="X25" s="8" t="s">
        <v>525</v>
      </c>
      <c r="Y25" s="8" t="s">
        <v>21</v>
      </c>
      <c r="Z25" s="8" t="s">
        <v>21</v>
      </c>
      <c r="AA25" s="8" t="s">
        <v>526</v>
      </c>
      <c r="AB25" s="8" t="str">
        <f>HYPERLINK("https%3A%2F%2Fwww.webofscience.com%2Fwos%2Fwoscc%2Ffull-record%2FWOS:000255971000009","View Full Record in Web of Science")</f>
        <v>View Full Record in Web of Science</v>
      </c>
    </row>
    <row r="26" spans="1:28" ht="28.8" x14ac:dyDescent="0.3">
      <c r="A26" s="17">
        <v>24</v>
      </c>
      <c r="B26" s="21" t="s">
        <v>528</v>
      </c>
      <c r="C26" s="21" t="s">
        <v>529</v>
      </c>
      <c r="D26" s="32" t="s">
        <v>530</v>
      </c>
      <c r="E26" s="8" t="s">
        <v>25</v>
      </c>
      <c r="F26" s="8" t="s">
        <v>76</v>
      </c>
      <c r="G26" s="8" t="s">
        <v>531</v>
      </c>
      <c r="H26" s="8" t="s">
        <v>532</v>
      </c>
      <c r="I26" s="8" t="s">
        <v>535</v>
      </c>
      <c r="J26" s="8">
        <v>120</v>
      </c>
      <c r="K26" s="8">
        <v>126</v>
      </c>
      <c r="L26" s="8">
        <v>6</v>
      </c>
      <c r="M26" s="8">
        <v>124</v>
      </c>
      <c r="N26" s="8" t="s">
        <v>424</v>
      </c>
      <c r="O26" s="8" t="s">
        <v>539</v>
      </c>
      <c r="P26" s="8" t="s">
        <v>540</v>
      </c>
      <c r="Q26" s="8" t="s">
        <v>541</v>
      </c>
      <c r="R26" s="8" t="s">
        <v>542</v>
      </c>
      <c r="S26" s="8">
        <v>2016</v>
      </c>
      <c r="T26" s="8" t="s">
        <v>544</v>
      </c>
      <c r="U26" s="8" t="str">
        <f>HYPERLINK("http://dx.doi.org/10.1016/j.edurev.2016.08.001","http://dx.doi.org/10.1016/j.edurev.2016.08.001")</f>
        <v>http://dx.doi.org/10.1016/j.edurev.2016.08.001</v>
      </c>
      <c r="V26" s="8" t="s">
        <v>503</v>
      </c>
      <c r="W26" s="8" t="s">
        <v>45</v>
      </c>
      <c r="X26" s="8" t="s">
        <v>545</v>
      </c>
      <c r="Y26" s="8" t="s">
        <v>21</v>
      </c>
      <c r="Z26" s="8" t="s">
        <v>137</v>
      </c>
      <c r="AA26" s="8" t="s">
        <v>546</v>
      </c>
      <c r="AB26" s="8" t="str">
        <f>HYPERLINK("https%3A%2F%2Fwww.webofscience.com%2Fwos%2Fwoscc%2Ffull-record%2FWOS:000387525600008","View Full Record in Web of Science")</f>
        <v>View Full Record in Web of Science</v>
      </c>
    </row>
    <row r="27" spans="1:28" ht="43.2" x14ac:dyDescent="0.3">
      <c r="A27" s="16">
        <v>25</v>
      </c>
      <c r="B27" s="21" t="s">
        <v>548</v>
      </c>
      <c r="C27" s="21" t="s">
        <v>549</v>
      </c>
      <c r="D27" s="32" t="s">
        <v>550</v>
      </c>
      <c r="E27" s="8" t="s">
        <v>25</v>
      </c>
      <c r="F27" s="8" t="s">
        <v>26</v>
      </c>
      <c r="G27" s="8" t="s">
        <v>21</v>
      </c>
      <c r="H27" s="8" t="s">
        <v>551</v>
      </c>
      <c r="I27" s="8" t="s">
        <v>554</v>
      </c>
      <c r="J27" s="8">
        <v>114</v>
      </c>
      <c r="K27" s="8">
        <v>133</v>
      </c>
      <c r="L27" s="8">
        <v>5</v>
      </c>
      <c r="M27" s="8">
        <v>108</v>
      </c>
      <c r="N27" s="8" t="s">
        <v>560</v>
      </c>
      <c r="O27" s="8" t="s">
        <v>563</v>
      </c>
      <c r="P27" s="8" t="s">
        <v>21</v>
      </c>
      <c r="Q27" s="8" t="s">
        <v>550</v>
      </c>
      <c r="R27" s="8" t="s">
        <v>564</v>
      </c>
      <c r="S27" s="8">
        <v>2014</v>
      </c>
      <c r="T27" s="8" t="s">
        <v>567</v>
      </c>
      <c r="U27" s="8" t="str">
        <f>HYPERLINK("http://dx.doi.org/10.1371/journal.pone.0100374","http://dx.doi.org/10.1371/journal.pone.0100374")</f>
        <v>http://dx.doi.org/10.1371/journal.pone.0100374</v>
      </c>
      <c r="V27" s="8" t="s">
        <v>568</v>
      </c>
      <c r="W27" s="8" t="s">
        <v>92</v>
      </c>
      <c r="X27" s="8" t="s">
        <v>570</v>
      </c>
      <c r="Y27" s="8">
        <v>24987957</v>
      </c>
      <c r="Z27" s="8" t="s">
        <v>204</v>
      </c>
      <c r="AA27" s="8" t="s">
        <v>571</v>
      </c>
      <c r="AB27" s="8" t="str">
        <f>HYPERLINK("https%3A%2F%2Fwww.webofscience.com%2Fwos%2Fwoscc%2Ffull-record%2FWOS:000341354100029","View Full Record in Web of Science")</f>
        <v>View Full Record in Web of Science</v>
      </c>
    </row>
    <row r="28" spans="1:28" ht="28.8" x14ac:dyDescent="0.3">
      <c r="A28" s="17">
        <v>26</v>
      </c>
      <c r="B28" s="21" t="s">
        <v>573</v>
      </c>
      <c r="C28" s="21" t="s">
        <v>574</v>
      </c>
      <c r="D28" s="32" t="s">
        <v>575</v>
      </c>
      <c r="E28" s="8" t="s">
        <v>25</v>
      </c>
      <c r="F28" s="8" t="s">
        <v>76</v>
      </c>
      <c r="G28" s="8" t="s">
        <v>576</v>
      </c>
      <c r="H28" s="8" t="s">
        <v>577</v>
      </c>
      <c r="I28" s="8" t="s">
        <v>580</v>
      </c>
      <c r="J28" s="8">
        <v>112</v>
      </c>
      <c r="K28" s="8">
        <v>129</v>
      </c>
      <c r="L28" s="8">
        <v>1</v>
      </c>
      <c r="M28" s="8">
        <v>38</v>
      </c>
      <c r="N28" s="8" t="s">
        <v>584</v>
      </c>
      <c r="O28" s="8" t="s">
        <v>587</v>
      </c>
      <c r="P28" s="8" t="s">
        <v>588</v>
      </c>
      <c r="Q28" s="8" t="s">
        <v>589</v>
      </c>
      <c r="R28" s="8" t="s">
        <v>590</v>
      </c>
      <c r="S28" s="8">
        <v>2009</v>
      </c>
      <c r="T28" s="8" t="s">
        <v>591</v>
      </c>
      <c r="U28" s="8" t="str">
        <f>HYPERLINK("http://dx.doi.org/10.1080/17518420902991719","http://dx.doi.org/10.1080/17518420902991719")</f>
        <v>http://dx.doi.org/10.1080/17518420902991719</v>
      </c>
      <c r="V28" s="8" t="s">
        <v>592</v>
      </c>
      <c r="W28" s="8" t="s">
        <v>524</v>
      </c>
      <c r="X28" s="8" t="s">
        <v>594</v>
      </c>
      <c r="Y28" s="8">
        <v>19842822</v>
      </c>
      <c r="Z28" s="8" t="s">
        <v>21</v>
      </c>
      <c r="AA28" s="8" t="s">
        <v>595</v>
      </c>
      <c r="AB28" s="8" t="str">
        <f>HYPERLINK("https%3A%2F%2Fwww.webofscience.com%2Fwos%2Fwoscc%2Ffull-record%2FWOS:000207788300007","View Full Record in Web of Science")</f>
        <v>View Full Record in Web of Science</v>
      </c>
    </row>
    <row r="29" spans="1:28" ht="28.8" x14ac:dyDescent="0.3">
      <c r="A29" s="16">
        <v>27</v>
      </c>
      <c r="B29" s="21" t="s">
        <v>597</v>
      </c>
      <c r="C29" s="21" t="s">
        <v>598</v>
      </c>
      <c r="D29" s="32" t="s">
        <v>24</v>
      </c>
      <c r="E29" s="8" t="s">
        <v>25</v>
      </c>
      <c r="F29" s="8" t="s">
        <v>26</v>
      </c>
      <c r="G29" s="8" t="s">
        <v>599</v>
      </c>
      <c r="H29" s="8" t="s">
        <v>600</v>
      </c>
      <c r="I29" s="8" t="s">
        <v>603</v>
      </c>
      <c r="J29" s="8">
        <v>105</v>
      </c>
      <c r="K29" s="8">
        <v>144</v>
      </c>
      <c r="L29" s="8">
        <v>2</v>
      </c>
      <c r="M29" s="8">
        <v>50</v>
      </c>
      <c r="N29" s="8" t="s">
        <v>35</v>
      </c>
      <c r="O29" s="8" t="s">
        <v>38</v>
      </c>
      <c r="P29" s="8" t="s">
        <v>39</v>
      </c>
      <c r="Q29" s="8" t="s">
        <v>40</v>
      </c>
      <c r="R29" s="8" t="s">
        <v>41</v>
      </c>
      <c r="S29" s="8">
        <v>2009</v>
      </c>
      <c r="T29" s="8" t="s">
        <v>606</v>
      </c>
      <c r="U29" s="8" t="str">
        <f>HYPERLINK("http://dx.doi.org/10.1007/s10803-008-0616-0","http://dx.doi.org/10.1007/s10803-008-0616-0")</f>
        <v>http://dx.doi.org/10.1007/s10803-008-0616-0</v>
      </c>
      <c r="V29" s="8" t="s">
        <v>44</v>
      </c>
      <c r="W29" s="8" t="s">
        <v>45</v>
      </c>
      <c r="X29" s="8" t="s">
        <v>607</v>
      </c>
      <c r="Y29" s="8">
        <v>18626761</v>
      </c>
      <c r="Z29" s="8" t="s">
        <v>21</v>
      </c>
      <c r="AA29" s="8" t="s">
        <v>608</v>
      </c>
      <c r="AB29" s="8" t="str">
        <f>HYPERLINK("https%3A%2F%2Fwww.webofscience.com%2Fwos%2Fwoscc%2Ffull-record%2FWOS:000261831800017","View Full Record in Web of Science")</f>
        <v>View Full Record in Web of Science</v>
      </c>
    </row>
    <row r="30" spans="1:28" ht="57.6" x14ac:dyDescent="0.3">
      <c r="A30" s="17">
        <v>28</v>
      </c>
      <c r="B30" s="21" t="s">
        <v>610</v>
      </c>
      <c r="C30" s="21" t="s">
        <v>611</v>
      </c>
      <c r="D30" s="32" t="s">
        <v>24</v>
      </c>
      <c r="E30" s="8" t="s">
        <v>25</v>
      </c>
      <c r="F30" s="8" t="s">
        <v>26</v>
      </c>
      <c r="G30" s="8" t="s">
        <v>612</v>
      </c>
      <c r="H30" s="8" t="s">
        <v>613</v>
      </c>
      <c r="I30" s="8" t="s">
        <v>616</v>
      </c>
      <c r="J30" s="8">
        <v>102</v>
      </c>
      <c r="K30" s="8">
        <v>110</v>
      </c>
      <c r="L30" s="8">
        <v>7</v>
      </c>
      <c r="M30" s="8">
        <v>86</v>
      </c>
      <c r="N30" s="8" t="s">
        <v>35</v>
      </c>
      <c r="O30" s="8" t="s">
        <v>38</v>
      </c>
      <c r="P30" s="8" t="s">
        <v>39</v>
      </c>
      <c r="Q30" s="8" t="s">
        <v>40</v>
      </c>
      <c r="R30" s="8" t="s">
        <v>41</v>
      </c>
      <c r="S30" s="8">
        <v>2015</v>
      </c>
      <c r="T30" s="8" t="s">
        <v>622</v>
      </c>
      <c r="U30" s="8" t="str">
        <f>HYPERLINK("http://dx.doi.org/10.1007/s10803-015-2470-1","http://dx.doi.org/10.1007/s10803-015-2470-1")</f>
        <v>http://dx.doi.org/10.1007/s10803-015-2470-1</v>
      </c>
      <c r="V30" s="8" t="s">
        <v>44</v>
      </c>
      <c r="W30" s="8" t="s">
        <v>45</v>
      </c>
      <c r="X30" s="8" t="s">
        <v>623</v>
      </c>
      <c r="Y30" s="8">
        <v>25986176</v>
      </c>
      <c r="Z30" s="8" t="s">
        <v>137</v>
      </c>
      <c r="AA30" s="8" t="s">
        <v>624</v>
      </c>
      <c r="AB30" s="8" t="str">
        <f>HYPERLINK("https%3A%2F%2Fwww.webofscience.com%2Fwos%2Fwoscc%2Ffull-record%2FWOS:000361430200027","View Full Record in Web of Science")</f>
        <v>View Full Record in Web of Science</v>
      </c>
    </row>
    <row r="31" spans="1:28" ht="43.2" x14ac:dyDescent="0.3">
      <c r="A31" s="16">
        <v>29</v>
      </c>
      <c r="B31" s="21" t="s">
        <v>626</v>
      </c>
      <c r="C31" s="21" t="s">
        <v>627</v>
      </c>
      <c r="D31" s="32" t="s">
        <v>24</v>
      </c>
      <c r="E31" s="8" t="s">
        <v>25</v>
      </c>
      <c r="F31" s="8" t="s">
        <v>26</v>
      </c>
      <c r="G31" s="8" t="s">
        <v>628</v>
      </c>
      <c r="H31" s="8" t="s">
        <v>629</v>
      </c>
      <c r="I31" s="8" t="s">
        <v>632</v>
      </c>
      <c r="J31" s="8">
        <v>96</v>
      </c>
      <c r="K31" s="8">
        <v>108</v>
      </c>
      <c r="L31" s="8">
        <v>1</v>
      </c>
      <c r="M31" s="8">
        <v>61</v>
      </c>
      <c r="N31" s="8" t="s">
        <v>35</v>
      </c>
      <c r="O31" s="8" t="s">
        <v>38</v>
      </c>
      <c r="P31" s="8" t="s">
        <v>39</v>
      </c>
      <c r="Q31" s="8" t="s">
        <v>40</v>
      </c>
      <c r="R31" s="8" t="s">
        <v>41</v>
      </c>
      <c r="S31" s="8">
        <v>2016</v>
      </c>
      <c r="T31" s="8" t="s">
        <v>640</v>
      </c>
      <c r="U31" s="8" t="str">
        <f>HYPERLINK("http://dx.doi.org/10.1007/s10803-016-2830-5","http://dx.doi.org/10.1007/s10803-016-2830-5")</f>
        <v>http://dx.doi.org/10.1007/s10803-016-2830-5</v>
      </c>
      <c r="V31" s="8" t="s">
        <v>44</v>
      </c>
      <c r="W31" s="8" t="s">
        <v>45</v>
      </c>
      <c r="X31" s="8" t="s">
        <v>641</v>
      </c>
      <c r="Y31" s="8">
        <v>27272115</v>
      </c>
      <c r="Z31" s="8" t="s">
        <v>21</v>
      </c>
      <c r="AA31" s="8" t="s">
        <v>642</v>
      </c>
      <c r="AB31" s="8" t="str">
        <f>HYPERLINK("https%3A%2F%2Fwww.webofscience.com%2Fwos%2Fwoscc%2Ffull-record%2FWOS:000381266800026","View Full Record in Web of Science")</f>
        <v>View Full Record in Web of Science</v>
      </c>
    </row>
    <row r="32" spans="1:28" ht="43.2" x14ac:dyDescent="0.3">
      <c r="A32" s="17">
        <v>30</v>
      </c>
      <c r="B32" s="21" t="s">
        <v>644</v>
      </c>
      <c r="C32" s="21" t="s">
        <v>645</v>
      </c>
      <c r="D32" s="32" t="s">
        <v>646</v>
      </c>
      <c r="E32" s="8" t="s">
        <v>25</v>
      </c>
      <c r="F32" s="8" t="s">
        <v>26</v>
      </c>
      <c r="G32" s="8" t="s">
        <v>647</v>
      </c>
      <c r="H32" s="8" t="s">
        <v>648</v>
      </c>
      <c r="I32" s="8" t="s">
        <v>651</v>
      </c>
      <c r="J32" s="8">
        <v>92</v>
      </c>
      <c r="K32" s="8">
        <v>100</v>
      </c>
      <c r="L32" s="8">
        <v>10</v>
      </c>
      <c r="M32" s="8">
        <v>143</v>
      </c>
      <c r="N32" s="8" t="s">
        <v>659</v>
      </c>
      <c r="O32" s="8" t="s">
        <v>662</v>
      </c>
      <c r="P32" s="8" t="s">
        <v>663</v>
      </c>
      <c r="Q32" s="8" t="s">
        <v>664</v>
      </c>
      <c r="R32" s="8" t="s">
        <v>665</v>
      </c>
      <c r="S32" s="8">
        <v>2013</v>
      </c>
      <c r="T32" s="8" t="s">
        <v>666</v>
      </c>
      <c r="U32" s="8" t="str">
        <f>HYPERLINK("http://dx.doi.org/10.1109/TNSRE.2012.2218618","http://dx.doi.org/10.1109/TNSRE.2012.2218618")</f>
        <v>http://dx.doi.org/10.1109/TNSRE.2012.2218618</v>
      </c>
      <c r="V32" s="8" t="s">
        <v>667</v>
      </c>
      <c r="W32" s="8" t="s">
        <v>92</v>
      </c>
      <c r="X32" s="8" t="s">
        <v>669</v>
      </c>
      <c r="Y32" s="8">
        <v>23033333</v>
      </c>
      <c r="Z32" s="8" t="s">
        <v>137</v>
      </c>
      <c r="AA32" s="8" t="s">
        <v>670</v>
      </c>
      <c r="AB32" s="8" t="str">
        <f>HYPERLINK("https%3A%2F%2Fwww.webofscience.com%2Fwos%2Fwoscc%2Ffull-record%2FWOS:000313423200007","View Full Record in Web of Science")</f>
        <v>View Full Record in Web of Science</v>
      </c>
    </row>
    <row r="33" spans="1:28" ht="43.2" x14ac:dyDescent="0.3">
      <c r="A33" s="16">
        <v>31</v>
      </c>
      <c r="B33" s="21" t="s">
        <v>672</v>
      </c>
      <c r="C33" s="21" t="s">
        <v>673</v>
      </c>
      <c r="D33" s="32" t="s">
        <v>674</v>
      </c>
      <c r="E33" s="8" t="s">
        <v>25</v>
      </c>
      <c r="F33" s="8" t="s">
        <v>26</v>
      </c>
      <c r="G33" s="8" t="s">
        <v>675</v>
      </c>
      <c r="H33" s="8" t="s">
        <v>676</v>
      </c>
      <c r="I33" s="8" t="s">
        <v>679</v>
      </c>
      <c r="J33" s="8">
        <v>90</v>
      </c>
      <c r="K33" s="8">
        <v>97</v>
      </c>
      <c r="L33" s="8">
        <v>14</v>
      </c>
      <c r="M33" s="8">
        <v>124</v>
      </c>
      <c r="N33" s="8" t="s">
        <v>684</v>
      </c>
      <c r="O33" s="8" t="s">
        <v>687</v>
      </c>
      <c r="P33" s="8" t="s">
        <v>21</v>
      </c>
      <c r="Q33" s="8" t="s">
        <v>688</v>
      </c>
      <c r="R33" s="8" t="s">
        <v>689</v>
      </c>
      <c r="S33" s="8">
        <v>2018</v>
      </c>
      <c r="T33" s="8" t="s">
        <v>691</v>
      </c>
      <c r="U33" s="8" t="str">
        <f>HYPERLINK("http://dx.doi.org/10.1109/TLT.2017.2739747","http://dx.doi.org/10.1109/TLT.2017.2739747")</f>
        <v>http://dx.doi.org/10.1109/TLT.2017.2739747</v>
      </c>
      <c r="V33" s="8" t="s">
        <v>292</v>
      </c>
      <c r="W33" s="8" t="s">
        <v>92</v>
      </c>
      <c r="X33" s="8" t="s">
        <v>692</v>
      </c>
      <c r="Y33" s="8" t="s">
        <v>21</v>
      </c>
      <c r="Z33" s="8" t="s">
        <v>21</v>
      </c>
      <c r="AA33" s="8" t="s">
        <v>693</v>
      </c>
      <c r="AB33" s="8" t="str">
        <f>HYPERLINK("https%3A%2F%2Fwww.webofscience.com%2Fwos%2Fwoscc%2Ffull-record%2FWOS:000435996300002","View Full Record in Web of Science")</f>
        <v>View Full Record in Web of Science</v>
      </c>
    </row>
    <row r="34" spans="1:28" ht="57.6" x14ac:dyDescent="0.3">
      <c r="A34" s="17">
        <v>32</v>
      </c>
      <c r="B34" s="21" t="s">
        <v>695</v>
      </c>
      <c r="C34" s="21" t="s">
        <v>696</v>
      </c>
      <c r="D34" s="32" t="s">
        <v>697</v>
      </c>
      <c r="E34" s="8" t="s">
        <v>25</v>
      </c>
      <c r="F34" s="8" t="s">
        <v>26</v>
      </c>
      <c r="G34" s="8" t="s">
        <v>698</v>
      </c>
      <c r="H34" s="8" t="s">
        <v>699</v>
      </c>
      <c r="I34" s="8" t="s">
        <v>702</v>
      </c>
      <c r="J34" s="8">
        <v>87</v>
      </c>
      <c r="K34" s="8">
        <v>96</v>
      </c>
      <c r="L34" s="8">
        <v>7</v>
      </c>
      <c r="M34" s="8">
        <v>107</v>
      </c>
      <c r="N34" s="8" t="s">
        <v>659</v>
      </c>
      <c r="O34" s="8" t="s">
        <v>710</v>
      </c>
      <c r="P34" s="8" t="s">
        <v>21</v>
      </c>
      <c r="Q34" s="8" t="s">
        <v>711</v>
      </c>
      <c r="R34" s="8" t="s">
        <v>712</v>
      </c>
      <c r="S34" s="8">
        <v>2017</v>
      </c>
      <c r="T34" s="8" t="s">
        <v>713</v>
      </c>
      <c r="U34" s="8" t="str">
        <f>HYPERLINK("http://dx.doi.org/10.1109/TAFFC.2016.2582490","http://dx.doi.org/10.1109/TAFFC.2016.2582490")</f>
        <v>http://dx.doi.org/10.1109/TAFFC.2016.2582490</v>
      </c>
      <c r="V34" s="8" t="s">
        <v>714</v>
      </c>
      <c r="W34" s="8" t="s">
        <v>92</v>
      </c>
      <c r="X34" s="8" t="s">
        <v>716</v>
      </c>
      <c r="Y34" s="8">
        <v>28966730</v>
      </c>
      <c r="Z34" s="8" t="s">
        <v>717</v>
      </c>
      <c r="AA34" s="8" t="s">
        <v>718</v>
      </c>
      <c r="AB34" s="8" t="str">
        <f>HYPERLINK("https%3A%2F%2Fwww.webofscience.com%2Fwos%2Fwoscc%2Ffull-record%2FWOS:000402709900004","View Full Record in Web of Science")</f>
        <v>View Full Record in Web of Science</v>
      </c>
    </row>
    <row r="35" spans="1:28" ht="28.8" x14ac:dyDescent="0.3">
      <c r="A35" s="16">
        <v>33</v>
      </c>
      <c r="B35" s="21" t="s">
        <v>720</v>
      </c>
      <c r="C35" s="21" t="s">
        <v>721</v>
      </c>
      <c r="D35" s="32" t="s">
        <v>722</v>
      </c>
      <c r="E35" s="8" t="s">
        <v>25</v>
      </c>
      <c r="F35" s="8" t="s">
        <v>26</v>
      </c>
      <c r="G35" s="8" t="s">
        <v>723</v>
      </c>
      <c r="H35" s="8" t="s">
        <v>724</v>
      </c>
      <c r="I35" s="8" t="s">
        <v>727</v>
      </c>
      <c r="J35" s="8">
        <v>85</v>
      </c>
      <c r="K35" s="8">
        <v>89</v>
      </c>
      <c r="L35" s="8">
        <v>8</v>
      </c>
      <c r="M35" s="8">
        <v>91</v>
      </c>
      <c r="N35" s="8" t="s">
        <v>733</v>
      </c>
      <c r="O35" s="8" t="s">
        <v>736</v>
      </c>
      <c r="P35" s="8" t="s">
        <v>737</v>
      </c>
      <c r="Q35" s="8" t="s">
        <v>738</v>
      </c>
      <c r="R35" s="8" t="s">
        <v>739</v>
      </c>
      <c r="S35" s="8">
        <v>2015</v>
      </c>
      <c r="T35" s="8" t="s">
        <v>740</v>
      </c>
      <c r="U35" s="8" t="str">
        <f>HYPERLINK("http://dx.doi.org/10.1177/1088357615583473","http://dx.doi.org/10.1177/1088357615583473")</f>
        <v>http://dx.doi.org/10.1177/1088357615583473</v>
      </c>
      <c r="V35" s="8" t="s">
        <v>741</v>
      </c>
      <c r="W35" s="8" t="s">
        <v>45</v>
      </c>
      <c r="X35" s="8" t="s">
        <v>743</v>
      </c>
      <c r="Y35" s="8" t="s">
        <v>21</v>
      </c>
      <c r="Z35" s="8" t="s">
        <v>21</v>
      </c>
      <c r="AA35" s="8" t="s">
        <v>744</v>
      </c>
      <c r="AB35" s="8" t="str">
        <f>HYPERLINK("https%3A%2F%2Fwww.webofscience.com%2Fwos%2Fwoscc%2Ffull-record%2FWOS:000364194000003","View Full Record in Web of Science")</f>
        <v>View Full Record in Web of Science</v>
      </c>
    </row>
    <row r="36" spans="1:28" ht="57.6" x14ac:dyDescent="0.3">
      <c r="A36" s="17">
        <v>34</v>
      </c>
      <c r="B36" s="21" t="s">
        <v>746</v>
      </c>
      <c r="C36" s="21" t="s">
        <v>747</v>
      </c>
      <c r="D36" s="32" t="s">
        <v>54</v>
      </c>
      <c r="E36" s="8" t="s">
        <v>25</v>
      </c>
      <c r="F36" s="8" t="s">
        <v>26</v>
      </c>
      <c r="G36" s="8" t="s">
        <v>748</v>
      </c>
      <c r="H36" s="8" t="s">
        <v>749</v>
      </c>
      <c r="I36" s="8" t="s">
        <v>752</v>
      </c>
      <c r="J36" s="8">
        <v>85</v>
      </c>
      <c r="K36" s="8">
        <v>104</v>
      </c>
      <c r="L36" s="8">
        <v>4</v>
      </c>
      <c r="M36" s="8">
        <v>32</v>
      </c>
      <c r="N36" s="8" t="s">
        <v>63</v>
      </c>
      <c r="O36" s="8" t="s">
        <v>66</v>
      </c>
      <c r="P36" s="8" t="s">
        <v>67</v>
      </c>
      <c r="Q36" s="8" t="s">
        <v>54</v>
      </c>
      <c r="R36" s="8" t="s">
        <v>68</v>
      </c>
      <c r="S36" s="8">
        <v>2008</v>
      </c>
      <c r="T36" s="8" t="s">
        <v>757</v>
      </c>
      <c r="U36" s="8" t="str">
        <f>HYPERLINK("http://dx.doi.org/10.1177/1362361307086657","http://dx.doi.org/10.1177/1362361307086657")</f>
        <v>http://dx.doi.org/10.1177/1362361307086657</v>
      </c>
      <c r="V36" s="8" t="s">
        <v>44</v>
      </c>
      <c r="W36" s="8" t="s">
        <v>45</v>
      </c>
      <c r="X36" s="8" t="s">
        <v>758</v>
      </c>
      <c r="Y36" s="8">
        <v>18308764</v>
      </c>
      <c r="Z36" s="8" t="s">
        <v>21</v>
      </c>
      <c r="AA36" s="8" t="s">
        <v>759</v>
      </c>
      <c r="AB36" s="8" t="str">
        <f>HYPERLINK("https%3A%2F%2Fwww.webofscience.com%2Fwos%2Fwoscc%2Ffull-record%2FWOS:000255126000003","View Full Record in Web of Science")</f>
        <v>View Full Record in Web of Science</v>
      </c>
    </row>
    <row r="37" spans="1:28" ht="43.2" x14ac:dyDescent="0.3">
      <c r="A37" s="16">
        <v>35</v>
      </c>
      <c r="B37" s="21" t="s">
        <v>761</v>
      </c>
      <c r="C37" s="21" t="s">
        <v>762</v>
      </c>
      <c r="D37" s="32" t="s">
        <v>763</v>
      </c>
      <c r="E37" s="8" t="s">
        <v>25</v>
      </c>
      <c r="F37" s="8" t="s">
        <v>236</v>
      </c>
      <c r="G37" s="8" t="s">
        <v>768</v>
      </c>
      <c r="H37" s="8" t="s">
        <v>769</v>
      </c>
      <c r="I37" s="8" t="s">
        <v>702</v>
      </c>
      <c r="J37" s="8">
        <v>81</v>
      </c>
      <c r="K37" s="8">
        <v>93</v>
      </c>
      <c r="L37" s="8">
        <v>5</v>
      </c>
      <c r="M37" s="8">
        <v>172</v>
      </c>
      <c r="N37" s="8" t="s">
        <v>684</v>
      </c>
      <c r="O37" s="8" t="s">
        <v>778</v>
      </c>
      <c r="P37" s="8" t="s">
        <v>779</v>
      </c>
      <c r="Q37" s="8" t="s">
        <v>780</v>
      </c>
      <c r="R37" s="8" t="s">
        <v>781</v>
      </c>
      <c r="S37" s="8">
        <v>2013</v>
      </c>
      <c r="T37" s="8" t="s">
        <v>783</v>
      </c>
      <c r="U37" s="8" t="str">
        <f>HYPERLINK("http://dx.doi.org/10.1109/TVCG.2013.42","http://dx.doi.org/10.1109/TVCG.2013.42")</f>
        <v>http://dx.doi.org/10.1109/TVCG.2013.42</v>
      </c>
      <c r="V37" s="8" t="s">
        <v>784</v>
      </c>
      <c r="W37" s="8" t="s">
        <v>785</v>
      </c>
      <c r="X37" s="8" t="s">
        <v>786</v>
      </c>
      <c r="Y37" s="8">
        <v>23428456</v>
      </c>
      <c r="Z37" s="8" t="s">
        <v>137</v>
      </c>
      <c r="AA37" s="8" t="s">
        <v>787</v>
      </c>
      <c r="AB37" s="8" t="str">
        <f>HYPERLINK("https%3A%2F%2Fwww.webofscience.com%2Fwos%2Fwoscc%2Ffull-record%2FWOS:000316409700026","View Full Record in Web of Science")</f>
        <v>View Full Record in Web of Science</v>
      </c>
    </row>
    <row r="38" spans="1:28" ht="57.6" x14ac:dyDescent="0.3">
      <c r="A38" s="17">
        <v>36</v>
      </c>
      <c r="B38" s="21" t="s">
        <v>789</v>
      </c>
      <c r="C38" s="21" t="s">
        <v>790</v>
      </c>
      <c r="D38" s="32" t="s">
        <v>646</v>
      </c>
      <c r="E38" s="8" t="s">
        <v>25</v>
      </c>
      <c r="F38" s="8" t="s">
        <v>26</v>
      </c>
      <c r="G38" s="8" t="s">
        <v>791</v>
      </c>
      <c r="H38" s="8" t="s">
        <v>792</v>
      </c>
      <c r="I38" s="8" t="s">
        <v>795</v>
      </c>
      <c r="J38" s="8">
        <v>79</v>
      </c>
      <c r="K38" s="8">
        <v>89</v>
      </c>
      <c r="L38" s="8">
        <v>5</v>
      </c>
      <c r="M38" s="8">
        <v>100</v>
      </c>
      <c r="N38" s="8" t="s">
        <v>659</v>
      </c>
      <c r="O38" s="8" t="s">
        <v>662</v>
      </c>
      <c r="P38" s="8" t="s">
        <v>21</v>
      </c>
      <c r="Q38" s="8" t="s">
        <v>664</v>
      </c>
      <c r="R38" s="8" t="s">
        <v>665</v>
      </c>
      <c r="S38" s="8">
        <v>2013</v>
      </c>
      <c r="T38" s="8" t="s">
        <v>802</v>
      </c>
      <c r="U38" s="8" t="str">
        <f>HYPERLINK("http://dx.doi.org/10.1109/TNSRE.2013.2240700","http://dx.doi.org/10.1109/TNSRE.2013.2240700")</f>
        <v>http://dx.doi.org/10.1109/TNSRE.2013.2240700</v>
      </c>
      <c r="V38" s="8" t="s">
        <v>667</v>
      </c>
      <c r="W38" s="8" t="s">
        <v>92</v>
      </c>
      <c r="X38" s="8" t="s">
        <v>803</v>
      </c>
      <c r="Y38" s="8">
        <v>23362251</v>
      </c>
      <c r="Z38" s="8" t="s">
        <v>21</v>
      </c>
      <c r="AA38" s="8" t="s">
        <v>804</v>
      </c>
      <c r="AB38" s="8" t="str">
        <f>HYPERLINK("https%3A%2F%2Fwww.webofscience.com%2Fwos%2Fwoscc%2Ffull-record%2FWOS:000316264100007","View Full Record in Web of Science")</f>
        <v>View Full Record in Web of Science</v>
      </c>
    </row>
    <row r="39" spans="1:28" ht="43.2" x14ac:dyDescent="0.3">
      <c r="A39" s="16">
        <v>37</v>
      </c>
      <c r="B39" s="21" t="s">
        <v>806</v>
      </c>
      <c r="C39" s="21" t="s">
        <v>807</v>
      </c>
      <c r="D39" s="32" t="s">
        <v>808</v>
      </c>
      <c r="E39" s="8" t="s">
        <v>25</v>
      </c>
      <c r="F39" s="8" t="s">
        <v>76</v>
      </c>
      <c r="G39" s="8" t="s">
        <v>809</v>
      </c>
      <c r="H39" s="8" t="s">
        <v>810</v>
      </c>
      <c r="I39" s="8" t="s">
        <v>813</v>
      </c>
      <c r="J39" s="8">
        <v>75</v>
      </c>
      <c r="K39" s="8">
        <v>78</v>
      </c>
      <c r="L39" s="8">
        <v>31</v>
      </c>
      <c r="M39" s="8">
        <v>152</v>
      </c>
      <c r="N39" s="8" t="s">
        <v>193</v>
      </c>
      <c r="O39" s="8" t="s">
        <v>21</v>
      </c>
      <c r="P39" s="8" t="s">
        <v>821</v>
      </c>
      <c r="Q39" s="8" t="s">
        <v>822</v>
      </c>
      <c r="R39" s="8" t="s">
        <v>823</v>
      </c>
      <c r="S39" s="8">
        <v>2022</v>
      </c>
      <c r="T39" s="8" t="s">
        <v>824</v>
      </c>
      <c r="U39" s="8" t="str">
        <f>HYPERLINK("http://dx.doi.org/10.3390/bs12050138","http://dx.doi.org/10.3390/bs12050138")</f>
        <v>http://dx.doi.org/10.3390/bs12050138</v>
      </c>
      <c r="V39" s="8" t="s">
        <v>825</v>
      </c>
      <c r="W39" s="8" t="s">
        <v>45</v>
      </c>
      <c r="X39" s="8" t="s">
        <v>826</v>
      </c>
      <c r="Y39" s="8">
        <v>35621435</v>
      </c>
      <c r="Z39" s="8" t="s">
        <v>827</v>
      </c>
      <c r="AA39" s="8" t="s">
        <v>828</v>
      </c>
      <c r="AB39" s="8" t="str">
        <f>HYPERLINK("https%3A%2F%2Fwww.webofscience.com%2Fwos%2Fwoscc%2Ffull-record%2FWOS:000801670600001","View Full Record in Web of Science")</f>
        <v>View Full Record in Web of Science</v>
      </c>
    </row>
    <row r="40" spans="1:28" ht="43.2" x14ac:dyDescent="0.3">
      <c r="A40" s="17">
        <v>38</v>
      </c>
      <c r="B40" s="21" t="s">
        <v>830</v>
      </c>
      <c r="C40" s="21" t="s">
        <v>831</v>
      </c>
      <c r="D40" s="32" t="s">
        <v>832</v>
      </c>
      <c r="E40" s="8" t="s">
        <v>25</v>
      </c>
      <c r="F40" s="8" t="s">
        <v>26</v>
      </c>
      <c r="G40" s="8" t="s">
        <v>21</v>
      </c>
      <c r="H40" s="8" t="s">
        <v>21</v>
      </c>
      <c r="I40" s="8" t="s">
        <v>835</v>
      </c>
      <c r="J40" s="8">
        <v>75</v>
      </c>
      <c r="K40" s="8">
        <v>98</v>
      </c>
      <c r="L40" s="8">
        <v>2</v>
      </c>
      <c r="M40" s="8">
        <v>29</v>
      </c>
      <c r="N40" s="8" t="s">
        <v>838</v>
      </c>
      <c r="O40" s="8" t="s">
        <v>840</v>
      </c>
      <c r="P40" s="8" t="s">
        <v>841</v>
      </c>
      <c r="Q40" s="8" t="s">
        <v>842</v>
      </c>
      <c r="R40" s="8" t="s">
        <v>843</v>
      </c>
      <c r="S40" s="8">
        <v>2007</v>
      </c>
      <c r="T40" s="8" t="s">
        <v>845</v>
      </c>
      <c r="U40" s="8" t="str">
        <f>HYPERLINK("http://dx.doi.org/10.1097/01.TLD.0000285358.33545.79","http://dx.doi.org/10.1097/01.TLD.0000285358.33545.79")</f>
        <v>http://dx.doi.org/10.1097/01.TLD.0000285358.33545.79</v>
      </c>
      <c r="V40" s="8" t="s">
        <v>846</v>
      </c>
      <c r="W40" s="8" t="s">
        <v>45</v>
      </c>
      <c r="X40" s="8" t="s">
        <v>847</v>
      </c>
      <c r="Y40" s="8" t="s">
        <v>21</v>
      </c>
      <c r="Z40" s="8" t="s">
        <v>21</v>
      </c>
      <c r="AA40" s="8" t="s">
        <v>848</v>
      </c>
      <c r="AB40" s="8" t="str">
        <f>HYPERLINK("https%3A%2F%2Fwww.webofscience.com%2Fwos%2Fwoscc%2Ffull-record%2FWOS:000249044500005","View Full Record in Web of Science")</f>
        <v>View Full Record in Web of Science</v>
      </c>
    </row>
    <row r="41" spans="1:28" ht="43.2" x14ac:dyDescent="0.3">
      <c r="A41" s="16">
        <v>39</v>
      </c>
      <c r="B41" s="21" t="s">
        <v>850</v>
      </c>
      <c r="C41" s="21" t="s">
        <v>851</v>
      </c>
      <c r="D41" s="32" t="s">
        <v>142</v>
      </c>
      <c r="E41" s="8" t="s">
        <v>25</v>
      </c>
      <c r="F41" s="8" t="s">
        <v>76</v>
      </c>
      <c r="G41" s="8" t="s">
        <v>852</v>
      </c>
      <c r="H41" s="8" t="s">
        <v>853</v>
      </c>
      <c r="I41" s="8" t="s">
        <v>856</v>
      </c>
      <c r="J41" s="8">
        <v>74</v>
      </c>
      <c r="K41" s="8">
        <v>81</v>
      </c>
      <c r="L41" s="8">
        <v>21</v>
      </c>
      <c r="M41" s="8">
        <v>123</v>
      </c>
      <c r="N41" s="8" t="s">
        <v>153</v>
      </c>
      <c r="O41" s="8" t="s">
        <v>156</v>
      </c>
      <c r="P41" s="8" t="s">
        <v>21</v>
      </c>
      <c r="Q41" s="8" t="s">
        <v>157</v>
      </c>
      <c r="R41" s="8" t="s">
        <v>158</v>
      </c>
      <c r="S41" s="8">
        <v>2021</v>
      </c>
      <c r="T41" s="8" t="s">
        <v>862</v>
      </c>
      <c r="U41" s="8" t="str">
        <f>HYPERLINK("http://dx.doi.org/10.3389/fpsyt.2021.665326","http://dx.doi.org/10.3389/fpsyt.2021.665326")</f>
        <v>http://dx.doi.org/10.3389/fpsyt.2021.665326</v>
      </c>
      <c r="V41" s="8" t="s">
        <v>161</v>
      </c>
      <c r="W41" s="8" t="s">
        <v>92</v>
      </c>
      <c r="X41" s="8" t="s">
        <v>863</v>
      </c>
      <c r="Y41" s="8">
        <v>34248702</v>
      </c>
      <c r="Z41" s="8" t="s">
        <v>864</v>
      </c>
      <c r="AA41" s="8" t="s">
        <v>865</v>
      </c>
      <c r="AB41" s="8" t="str">
        <f>HYPERLINK("https%3A%2F%2Fwww.webofscience.com%2Fwos%2Fwoscc%2Ffull-record%2FWOS:000670292500001","View Full Record in Web of Science")</f>
        <v>View Full Record in Web of Science</v>
      </c>
    </row>
    <row r="42" spans="1:28" ht="28.8" x14ac:dyDescent="0.3">
      <c r="A42" s="17">
        <v>40</v>
      </c>
      <c r="B42" s="21" t="s">
        <v>867</v>
      </c>
      <c r="C42" s="21" t="s">
        <v>868</v>
      </c>
      <c r="D42" s="32" t="s">
        <v>869</v>
      </c>
      <c r="E42" s="8" t="s">
        <v>25</v>
      </c>
      <c r="F42" s="8" t="s">
        <v>26</v>
      </c>
      <c r="G42" s="8" t="s">
        <v>870</v>
      </c>
      <c r="H42" s="8" t="s">
        <v>871</v>
      </c>
      <c r="I42" s="8" t="s">
        <v>874</v>
      </c>
      <c r="J42" s="8">
        <v>73</v>
      </c>
      <c r="K42" s="8">
        <v>77</v>
      </c>
      <c r="L42" s="8">
        <v>40</v>
      </c>
      <c r="M42" s="8">
        <v>197</v>
      </c>
      <c r="N42" s="8" t="s">
        <v>733</v>
      </c>
      <c r="O42" s="8" t="s">
        <v>881</v>
      </c>
      <c r="P42" s="8" t="s">
        <v>882</v>
      </c>
      <c r="Q42" s="8" t="s">
        <v>883</v>
      </c>
      <c r="R42" s="8" t="s">
        <v>884</v>
      </c>
      <c r="S42" s="8">
        <v>2022</v>
      </c>
      <c r="T42" s="8" t="s">
        <v>885</v>
      </c>
      <c r="U42" s="8" t="str">
        <f>HYPERLINK("http://dx.doi.org/10.1177/0162643420945603","http://dx.doi.org/10.1177/0162643420945603")</f>
        <v>http://dx.doi.org/10.1177/0162643420945603</v>
      </c>
      <c r="V42" s="8" t="s">
        <v>887</v>
      </c>
      <c r="W42" s="8" t="s">
        <v>45</v>
      </c>
      <c r="X42" s="8" t="s">
        <v>889</v>
      </c>
      <c r="Y42" s="8" t="s">
        <v>21</v>
      </c>
      <c r="Z42" s="8" t="s">
        <v>21</v>
      </c>
      <c r="AA42" s="8" t="s">
        <v>890</v>
      </c>
      <c r="AB42" s="8" t="str">
        <f>HYPERLINK("https%3A%2F%2Fwww.webofscience.com%2Fwos%2Fwoscc%2Ffull-record%2FWOS:000570666400001","View Full Record in Web of Science")</f>
        <v>View Full Record in Web of Science</v>
      </c>
    </row>
    <row r="43" spans="1:28" ht="43.2" x14ac:dyDescent="0.3">
      <c r="A43" s="16">
        <v>41</v>
      </c>
      <c r="B43" s="21" t="s">
        <v>892</v>
      </c>
      <c r="C43" s="21" t="s">
        <v>893</v>
      </c>
      <c r="D43" s="32" t="s">
        <v>894</v>
      </c>
      <c r="E43" s="8" t="s">
        <v>25</v>
      </c>
      <c r="F43" s="8" t="s">
        <v>26</v>
      </c>
      <c r="G43" s="8" t="s">
        <v>895</v>
      </c>
      <c r="H43" s="8" t="s">
        <v>896</v>
      </c>
      <c r="I43" s="8" t="s">
        <v>899</v>
      </c>
      <c r="J43" s="8">
        <v>73</v>
      </c>
      <c r="K43" s="8">
        <v>79</v>
      </c>
      <c r="L43" s="8">
        <v>27</v>
      </c>
      <c r="M43" s="8">
        <v>146</v>
      </c>
      <c r="N43" s="8" t="s">
        <v>904</v>
      </c>
      <c r="O43" s="8" t="s">
        <v>906</v>
      </c>
      <c r="P43" s="8" t="s">
        <v>907</v>
      </c>
      <c r="Q43" s="8" t="s">
        <v>908</v>
      </c>
      <c r="R43" s="8" t="s">
        <v>909</v>
      </c>
      <c r="S43" s="8">
        <v>2020</v>
      </c>
      <c r="T43" s="8" t="s">
        <v>910</v>
      </c>
      <c r="U43" s="8" t="str">
        <f>HYPERLINK("http://dx.doi.org/10.1007/s10639-019-10050-0","http://dx.doi.org/10.1007/s10639-019-10050-0")</f>
        <v>http://dx.doi.org/10.1007/s10639-019-10050-0</v>
      </c>
      <c r="V43" s="8" t="s">
        <v>503</v>
      </c>
      <c r="W43" s="8" t="s">
        <v>45</v>
      </c>
      <c r="X43" s="8" t="s">
        <v>911</v>
      </c>
      <c r="Y43" s="8" t="s">
        <v>21</v>
      </c>
      <c r="Z43" s="8" t="s">
        <v>21</v>
      </c>
      <c r="AA43" s="8" t="s">
        <v>912</v>
      </c>
      <c r="AB43" s="8" t="str">
        <f>HYPERLINK("https%3A%2F%2Fwww.webofscience.com%2Fwos%2Fwoscc%2Ffull-record%2FWOS:000532783100013","View Full Record in Web of Science")</f>
        <v>View Full Record in Web of Science</v>
      </c>
    </row>
    <row r="44" spans="1:28" ht="43.2" x14ac:dyDescent="0.3">
      <c r="A44" s="17">
        <v>42</v>
      </c>
      <c r="B44" s="21" t="s">
        <v>914</v>
      </c>
      <c r="C44" s="21" t="s">
        <v>915</v>
      </c>
      <c r="D44" s="32" t="s">
        <v>916</v>
      </c>
      <c r="E44" s="8" t="s">
        <v>25</v>
      </c>
      <c r="F44" s="8" t="s">
        <v>26</v>
      </c>
      <c r="G44" s="8" t="s">
        <v>917</v>
      </c>
      <c r="H44" s="8" t="s">
        <v>918</v>
      </c>
      <c r="I44" s="8" t="s">
        <v>921</v>
      </c>
      <c r="J44" s="8">
        <v>72</v>
      </c>
      <c r="K44" s="8">
        <v>80</v>
      </c>
      <c r="L44" s="8">
        <v>5</v>
      </c>
      <c r="M44" s="8">
        <v>65</v>
      </c>
      <c r="N44" s="8" t="s">
        <v>659</v>
      </c>
      <c r="O44" s="8" t="s">
        <v>928</v>
      </c>
      <c r="P44" s="8" t="s">
        <v>929</v>
      </c>
      <c r="Q44" s="8" t="s">
        <v>930</v>
      </c>
      <c r="R44" s="8" t="s">
        <v>931</v>
      </c>
      <c r="S44" s="8">
        <v>2018</v>
      </c>
      <c r="T44" s="8" t="s">
        <v>932</v>
      </c>
      <c r="U44" s="8" t="str">
        <f>HYPERLINK("http://dx.doi.org/10.1109/TBME.2017.2693157","http://dx.doi.org/10.1109/TBME.2017.2693157")</f>
        <v>http://dx.doi.org/10.1109/TBME.2017.2693157</v>
      </c>
      <c r="V44" s="8" t="s">
        <v>933</v>
      </c>
      <c r="W44" s="8" t="s">
        <v>524</v>
      </c>
      <c r="X44" s="8" t="s">
        <v>935</v>
      </c>
      <c r="Y44" s="8">
        <v>28422647</v>
      </c>
      <c r="Z44" s="8" t="s">
        <v>717</v>
      </c>
      <c r="AA44" s="8" t="s">
        <v>936</v>
      </c>
      <c r="AB44" s="8" t="str">
        <f>HYPERLINK("https%3A%2F%2Fwww.webofscience.com%2Fwos%2Fwoscc%2Ffull-record%2FWOS:000418722000006","View Full Record in Web of Science")</f>
        <v>View Full Record in Web of Science</v>
      </c>
    </row>
    <row r="45" spans="1:28" ht="28.8" x14ac:dyDescent="0.3">
      <c r="A45" s="16">
        <v>43</v>
      </c>
      <c r="B45" s="21" t="s">
        <v>938</v>
      </c>
      <c r="C45" s="21" t="s">
        <v>939</v>
      </c>
      <c r="D45" s="32" t="s">
        <v>54</v>
      </c>
      <c r="E45" s="8" t="s">
        <v>25</v>
      </c>
      <c r="F45" s="8" t="s">
        <v>76</v>
      </c>
      <c r="G45" s="8" t="s">
        <v>940</v>
      </c>
      <c r="H45" s="8" t="s">
        <v>941</v>
      </c>
      <c r="I45" s="8" t="s">
        <v>944</v>
      </c>
      <c r="J45" s="8">
        <v>70</v>
      </c>
      <c r="K45" s="8">
        <v>78</v>
      </c>
      <c r="L45" s="8">
        <v>1</v>
      </c>
      <c r="M45" s="8">
        <v>104</v>
      </c>
      <c r="N45" s="8" t="s">
        <v>63</v>
      </c>
      <c r="O45" s="8" t="s">
        <v>66</v>
      </c>
      <c r="P45" s="8" t="s">
        <v>67</v>
      </c>
      <c r="Q45" s="8" t="s">
        <v>54</v>
      </c>
      <c r="R45" s="8" t="s">
        <v>68</v>
      </c>
      <c r="S45" s="8">
        <v>2014</v>
      </c>
      <c r="T45" s="8" t="s">
        <v>950</v>
      </c>
      <c r="U45" s="8" t="str">
        <f>HYPERLINK("http://dx.doi.org/10.1177/1362361313499827","http://dx.doi.org/10.1177/1362361313499827")</f>
        <v>http://dx.doi.org/10.1177/1362361313499827</v>
      </c>
      <c r="V45" s="8" t="s">
        <v>44</v>
      </c>
      <c r="W45" s="8" t="s">
        <v>45</v>
      </c>
      <c r="X45" s="8" t="s">
        <v>951</v>
      </c>
      <c r="Y45" s="8">
        <v>24129912</v>
      </c>
      <c r="Z45" s="8" t="s">
        <v>21</v>
      </c>
      <c r="AA45" s="8" t="s">
        <v>952</v>
      </c>
      <c r="AB45" s="8" t="str">
        <f>HYPERLINK("https%3A%2F%2Fwww.webofscience.com%2Fwos%2Fwoscc%2Ffull-record%2FWOS:000343906200001","View Full Record in Web of Science")</f>
        <v>View Full Record in Web of Science</v>
      </c>
    </row>
    <row r="46" spans="1:28" ht="57.6" x14ac:dyDescent="0.3">
      <c r="A46" s="17">
        <v>44</v>
      </c>
      <c r="B46" s="21" t="s">
        <v>954</v>
      </c>
      <c r="C46" s="21" t="s">
        <v>955</v>
      </c>
      <c r="D46" s="32" t="s">
        <v>24</v>
      </c>
      <c r="E46" s="8" t="s">
        <v>25</v>
      </c>
      <c r="F46" s="8" t="s">
        <v>76</v>
      </c>
      <c r="G46" s="8" t="s">
        <v>956</v>
      </c>
      <c r="H46" s="8" t="s">
        <v>957</v>
      </c>
      <c r="I46" s="8" t="s">
        <v>960</v>
      </c>
      <c r="J46" s="8">
        <v>68</v>
      </c>
      <c r="K46" s="8">
        <v>74</v>
      </c>
      <c r="L46" s="8">
        <v>22</v>
      </c>
      <c r="M46" s="8">
        <v>159</v>
      </c>
      <c r="N46" s="8" t="s">
        <v>35</v>
      </c>
      <c r="O46" s="8" t="s">
        <v>38</v>
      </c>
      <c r="P46" s="8" t="s">
        <v>39</v>
      </c>
      <c r="Q46" s="8" t="s">
        <v>40</v>
      </c>
      <c r="R46" s="8" t="s">
        <v>41</v>
      </c>
      <c r="S46" s="8">
        <v>2022</v>
      </c>
      <c r="T46" s="8" t="s">
        <v>967</v>
      </c>
      <c r="U46" s="8" t="str">
        <f>HYPERLINK("http://dx.doi.org/10.1007/s10803-021-05338-5","http://dx.doi.org/10.1007/s10803-021-05338-5")</f>
        <v>http://dx.doi.org/10.1007/s10803-021-05338-5</v>
      </c>
      <c r="V46" s="8" t="s">
        <v>44</v>
      </c>
      <c r="W46" s="8" t="s">
        <v>45</v>
      </c>
      <c r="X46" s="8" t="s">
        <v>969</v>
      </c>
      <c r="Y46" s="8">
        <v>34783991</v>
      </c>
      <c r="Z46" s="8" t="s">
        <v>970</v>
      </c>
      <c r="AA46" s="8" t="s">
        <v>971</v>
      </c>
      <c r="AB46" s="8" t="str">
        <f>HYPERLINK("https%3A%2F%2Fwww.webofscience.com%2Fwos%2Fwoscc%2Ffull-record%2FWOS:000719158600002","View Full Record in Web of Science")</f>
        <v>View Full Record in Web of Science</v>
      </c>
    </row>
    <row r="47" spans="1:28" ht="187.2" x14ac:dyDescent="0.3">
      <c r="A47" s="16">
        <v>45</v>
      </c>
      <c r="B47" s="21" t="s">
        <v>973</v>
      </c>
      <c r="C47" s="21" t="s">
        <v>974</v>
      </c>
      <c r="D47" s="32" t="s">
        <v>975</v>
      </c>
      <c r="E47" s="8" t="s">
        <v>25</v>
      </c>
      <c r="F47" s="8" t="s">
        <v>76</v>
      </c>
      <c r="G47" s="8" t="s">
        <v>976</v>
      </c>
      <c r="H47" s="8" t="s">
        <v>977</v>
      </c>
      <c r="I47" s="8" t="s">
        <v>980</v>
      </c>
      <c r="J47" s="8">
        <v>65</v>
      </c>
      <c r="K47" s="8">
        <v>66</v>
      </c>
      <c r="L47" s="8">
        <v>14</v>
      </c>
      <c r="M47" s="8">
        <v>55</v>
      </c>
      <c r="N47" s="8" t="s">
        <v>110</v>
      </c>
      <c r="O47" s="8" t="s">
        <v>987</v>
      </c>
      <c r="P47" s="8" t="s">
        <v>988</v>
      </c>
      <c r="Q47" s="8" t="s">
        <v>989</v>
      </c>
      <c r="R47" s="8" t="s">
        <v>990</v>
      </c>
      <c r="S47" s="8">
        <v>2022</v>
      </c>
      <c r="T47" s="8" t="s">
        <v>991</v>
      </c>
      <c r="U47" s="8" t="str">
        <f>HYPERLINK("http://dx.doi.org/10.1016/j.cpr.2022.102213","http://dx.doi.org/10.1016/j.cpr.2022.102213")</f>
        <v>http://dx.doi.org/10.1016/j.cpr.2022.102213</v>
      </c>
      <c r="V47" s="8" t="s">
        <v>992</v>
      </c>
      <c r="W47" s="8" t="s">
        <v>45</v>
      </c>
      <c r="X47" s="8" t="s">
        <v>993</v>
      </c>
      <c r="Y47" s="8">
        <v>36356351</v>
      </c>
      <c r="Z47" s="8" t="s">
        <v>970</v>
      </c>
      <c r="AA47" s="8" t="s">
        <v>994</v>
      </c>
      <c r="AB47" s="8" t="str">
        <f>HYPERLINK("https%3A%2F%2Fwww.webofscience.com%2Fwos%2Fwoscc%2Ffull-record%2FWOS:001127263000003","View Full Record in Web of Science")</f>
        <v>View Full Record in Web of Science</v>
      </c>
    </row>
    <row r="48" spans="1:28" ht="57.6" x14ac:dyDescent="0.3">
      <c r="A48" s="17">
        <v>46</v>
      </c>
      <c r="B48" s="21" t="s">
        <v>996</v>
      </c>
      <c r="C48" s="21" t="s">
        <v>997</v>
      </c>
      <c r="D48" s="32" t="s">
        <v>390</v>
      </c>
      <c r="E48" s="8" t="s">
        <v>25</v>
      </c>
      <c r="F48" s="8" t="s">
        <v>76</v>
      </c>
      <c r="G48" s="8" t="s">
        <v>998</v>
      </c>
      <c r="H48" s="8" t="s">
        <v>999</v>
      </c>
      <c r="I48" s="8" t="s">
        <v>1002</v>
      </c>
      <c r="J48" s="8">
        <v>65</v>
      </c>
      <c r="K48" s="8">
        <v>70</v>
      </c>
      <c r="L48" s="8">
        <v>7</v>
      </c>
      <c r="M48" s="8">
        <v>67</v>
      </c>
      <c r="N48" s="8" t="s">
        <v>193</v>
      </c>
      <c r="O48" s="8" t="s">
        <v>21</v>
      </c>
      <c r="P48" s="8" t="s">
        <v>402</v>
      </c>
      <c r="Q48" s="8" t="s">
        <v>403</v>
      </c>
      <c r="R48" s="8" t="s">
        <v>404</v>
      </c>
      <c r="S48" s="8">
        <v>2020</v>
      </c>
      <c r="T48" s="8" t="s">
        <v>1007</v>
      </c>
      <c r="U48" s="8" t="str">
        <f>HYPERLINK("http://dx.doi.org/10.3390/ijerph17176143","http://dx.doi.org/10.3390/ijerph17176143")</f>
        <v>http://dx.doi.org/10.3390/ijerph17176143</v>
      </c>
      <c r="V48" s="8" t="s">
        <v>406</v>
      </c>
      <c r="W48" s="8" t="s">
        <v>92</v>
      </c>
      <c r="X48" s="8" t="s">
        <v>1008</v>
      </c>
      <c r="Y48" s="8">
        <v>32847074</v>
      </c>
      <c r="Z48" s="8" t="s">
        <v>864</v>
      </c>
      <c r="AA48" s="8" t="s">
        <v>1009</v>
      </c>
      <c r="AB48" s="8" t="str">
        <f>HYPERLINK("https%3A%2F%2Fwww.webofscience.com%2Fwos%2Fwoscc%2Ffull-record%2FWOS:000569722900001","View Full Record in Web of Science")</f>
        <v>View Full Record in Web of Science</v>
      </c>
    </row>
    <row r="49" spans="1:28" ht="28.8" x14ac:dyDescent="0.3">
      <c r="A49" s="16">
        <v>47</v>
      </c>
      <c r="B49" s="21" t="s">
        <v>1011</v>
      </c>
      <c r="C49" s="21" t="s">
        <v>1012</v>
      </c>
      <c r="D49" s="32" t="s">
        <v>1013</v>
      </c>
      <c r="E49" s="8" t="s">
        <v>25</v>
      </c>
      <c r="F49" s="8" t="s">
        <v>26</v>
      </c>
      <c r="G49" s="8" t="s">
        <v>1014</v>
      </c>
      <c r="H49" s="8" t="s">
        <v>21</v>
      </c>
      <c r="I49" s="8" t="s">
        <v>1017</v>
      </c>
      <c r="J49" s="8">
        <v>65</v>
      </c>
      <c r="K49" s="8">
        <v>69</v>
      </c>
      <c r="L49" s="8">
        <v>3</v>
      </c>
      <c r="M49" s="8">
        <v>44</v>
      </c>
      <c r="N49" s="8" t="s">
        <v>349</v>
      </c>
      <c r="O49" s="8" t="s">
        <v>1019</v>
      </c>
      <c r="P49" s="8" t="s">
        <v>1020</v>
      </c>
      <c r="Q49" s="8" t="s">
        <v>1021</v>
      </c>
      <c r="R49" s="8" t="s">
        <v>1022</v>
      </c>
      <c r="S49" s="8">
        <v>2020</v>
      </c>
      <c r="T49" s="8" t="s">
        <v>1024</v>
      </c>
      <c r="U49" s="8" t="str">
        <f>HYPERLINK("http://dx.doi.org/10.1089/cyber.2019.0206","http://dx.doi.org/10.1089/cyber.2019.0206")</f>
        <v>http://dx.doi.org/10.1089/cyber.2019.0206</v>
      </c>
      <c r="V49" s="8" t="s">
        <v>1026</v>
      </c>
      <c r="W49" s="8" t="s">
        <v>45</v>
      </c>
      <c r="X49" s="8" t="s">
        <v>1027</v>
      </c>
      <c r="Y49" s="8">
        <v>31502866</v>
      </c>
      <c r="Z49" s="8" t="s">
        <v>95</v>
      </c>
      <c r="AA49" s="8" t="s">
        <v>1028</v>
      </c>
      <c r="AB49" s="8" t="str">
        <f>HYPERLINK("https%3A%2F%2Fwww.webofscience.com%2Fwos%2Fwoscc%2Ffull-record%2FWOS:000486097400001","View Full Record in Web of Science")</f>
        <v>View Full Record in Web of Science</v>
      </c>
    </row>
    <row r="50" spans="1:28" ht="43.2" x14ac:dyDescent="0.3">
      <c r="A50" s="17">
        <v>48</v>
      </c>
      <c r="B50" s="21" t="s">
        <v>1030</v>
      </c>
      <c r="C50" s="21" t="s">
        <v>1031</v>
      </c>
      <c r="D50" s="32" t="s">
        <v>894</v>
      </c>
      <c r="E50" s="8" t="s">
        <v>25</v>
      </c>
      <c r="F50" s="8" t="s">
        <v>76</v>
      </c>
      <c r="G50" s="8" t="s">
        <v>1032</v>
      </c>
      <c r="H50" s="8" t="s">
        <v>1033</v>
      </c>
      <c r="I50" s="8" t="s">
        <v>899</v>
      </c>
      <c r="J50" s="8">
        <v>65</v>
      </c>
      <c r="K50" s="8">
        <v>69</v>
      </c>
      <c r="L50" s="8">
        <v>2</v>
      </c>
      <c r="M50" s="8">
        <v>50</v>
      </c>
      <c r="N50" s="8" t="s">
        <v>904</v>
      </c>
      <c r="O50" s="8" t="s">
        <v>906</v>
      </c>
      <c r="P50" s="8" t="s">
        <v>907</v>
      </c>
      <c r="Q50" s="8" t="s">
        <v>908</v>
      </c>
      <c r="R50" s="8" t="s">
        <v>909</v>
      </c>
      <c r="S50" s="8">
        <v>2019</v>
      </c>
      <c r="T50" s="8" t="s">
        <v>1039</v>
      </c>
      <c r="U50" s="8" t="str">
        <f>HYPERLINK("http://dx.doi.org/10.1007/s10639-018-9766-7","http://dx.doi.org/10.1007/s10639-018-9766-7")</f>
        <v>http://dx.doi.org/10.1007/s10639-018-9766-7</v>
      </c>
      <c r="V50" s="8" t="s">
        <v>503</v>
      </c>
      <c r="W50" s="8" t="s">
        <v>45</v>
      </c>
      <c r="X50" s="8" t="s">
        <v>1040</v>
      </c>
      <c r="Y50" s="8" t="s">
        <v>21</v>
      </c>
      <c r="Z50" s="8" t="s">
        <v>21</v>
      </c>
      <c r="AA50" s="8" t="s">
        <v>1041</v>
      </c>
      <c r="AB50" s="8" t="str">
        <f>HYPERLINK("https%3A%2F%2Fwww.webofscience.com%2Fwos%2Fwoscc%2Ffull-record%2FWOS:000458250700007","View Full Record in Web of Science")</f>
        <v>View Full Record in Web of Science</v>
      </c>
    </row>
    <row r="51" spans="1:28" ht="28.8" x14ac:dyDescent="0.3">
      <c r="A51" s="16">
        <v>49</v>
      </c>
      <c r="B51" s="21" t="s">
        <v>1042</v>
      </c>
      <c r="C51" s="21" t="s">
        <v>1043</v>
      </c>
      <c r="D51" s="32" t="s">
        <v>340</v>
      </c>
      <c r="E51" s="8" t="s">
        <v>25</v>
      </c>
      <c r="F51" s="8" t="s">
        <v>236</v>
      </c>
      <c r="G51" s="8" t="s">
        <v>21</v>
      </c>
      <c r="H51" s="8" t="s">
        <v>1047</v>
      </c>
      <c r="I51" s="8" t="s">
        <v>1050</v>
      </c>
      <c r="J51" s="8">
        <v>65</v>
      </c>
      <c r="K51" s="8">
        <v>77</v>
      </c>
      <c r="L51" s="8">
        <v>0</v>
      </c>
      <c r="M51" s="8">
        <v>31</v>
      </c>
      <c r="N51" s="8" t="s">
        <v>1052</v>
      </c>
      <c r="O51" s="8" t="s">
        <v>352</v>
      </c>
      <c r="P51" s="8" t="s">
        <v>21</v>
      </c>
      <c r="Q51" s="8" t="s">
        <v>353</v>
      </c>
      <c r="R51" s="8" t="s">
        <v>354</v>
      </c>
      <c r="S51" s="8">
        <v>2002</v>
      </c>
      <c r="T51" s="8" t="s">
        <v>1055</v>
      </c>
      <c r="U51" s="8" t="str">
        <f>HYPERLINK("http://dx.doi.org/10.1089/109493102760147204","http://dx.doi.org/10.1089/109493102760147204")</f>
        <v>http://dx.doi.org/10.1089/109493102760147204</v>
      </c>
      <c r="V51" s="8" t="s">
        <v>356</v>
      </c>
      <c r="W51" s="8" t="s">
        <v>1056</v>
      </c>
      <c r="X51" s="8" t="s">
        <v>1057</v>
      </c>
      <c r="Y51" s="8">
        <v>12123243</v>
      </c>
      <c r="Z51" s="8" t="s">
        <v>21</v>
      </c>
      <c r="AA51" s="8" t="s">
        <v>1058</v>
      </c>
      <c r="AB51" s="8" t="str">
        <f>HYPERLINK("https%3A%2F%2Fwww.webofscience.com%2Fwos%2Fwoscc%2Ffull-record%2FWOS:000176554400007","View Full Record in Web of Science")</f>
        <v>View Full Record in Web of Science</v>
      </c>
    </row>
    <row r="52" spans="1:28" ht="100.8" x14ac:dyDescent="0.3">
      <c r="A52" s="17">
        <v>50</v>
      </c>
      <c r="B52" s="21" t="s">
        <v>1060</v>
      </c>
      <c r="C52" s="21" t="s">
        <v>1061</v>
      </c>
      <c r="D52" s="32" t="s">
        <v>24</v>
      </c>
      <c r="E52" s="8" t="s">
        <v>25</v>
      </c>
      <c r="F52" s="8" t="s">
        <v>26</v>
      </c>
      <c r="G52" s="8" t="s">
        <v>1062</v>
      </c>
      <c r="H52" s="8" t="s">
        <v>1063</v>
      </c>
      <c r="I52" s="8" t="s">
        <v>1066</v>
      </c>
      <c r="J52" s="8">
        <v>64</v>
      </c>
      <c r="K52" s="8">
        <v>74</v>
      </c>
      <c r="L52" s="8">
        <v>8</v>
      </c>
      <c r="M52" s="8">
        <v>84</v>
      </c>
      <c r="N52" s="8" t="s">
        <v>35</v>
      </c>
      <c r="O52" s="8" t="s">
        <v>38</v>
      </c>
      <c r="P52" s="8" t="s">
        <v>39</v>
      </c>
      <c r="Q52" s="8" t="s">
        <v>40</v>
      </c>
      <c r="R52" s="8" t="s">
        <v>41</v>
      </c>
      <c r="S52" s="8">
        <v>2019</v>
      </c>
      <c r="T52" s="8" t="s">
        <v>1074</v>
      </c>
      <c r="U52" s="8" t="str">
        <f>HYPERLINK("http://dx.doi.org/10.1007/s10803-018-3861-x","http://dx.doi.org/10.1007/s10803-018-3861-x")</f>
        <v>http://dx.doi.org/10.1007/s10803-018-3861-x</v>
      </c>
      <c r="V52" s="8" t="s">
        <v>44</v>
      </c>
      <c r="W52" s="8" t="s">
        <v>45</v>
      </c>
      <c r="X52" s="8" t="s">
        <v>1075</v>
      </c>
      <c r="Y52" s="8">
        <v>30767156</v>
      </c>
      <c r="Z52" s="8" t="s">
        <v>1076</v>
      </c>
      <c r="AA52" s="8" t="s">
        <v>1077</v>
      </c>
      <c r="AB52" s="8" t="str">
        <f>HYPERLINK("https%3A%2F%2Fwww.webofscience.com%2Fwos%2Fwoscc%2Ffull-record%2FWOS:000466001300013","View Full Record in Web of Science")</f>
        <v>View Full Record in Web of Science</v>
      </c>
    </row>
    <row r="53" spans="1:28" ht="43.2" x14ac:dyDescent="0.3">
      <c r="A53" s="16">
        <v>51</v>
      </c>
      <c r="B53" s="21" t="s">
        <v>1079</v>
      </c>
      <c r="C53" s="21" t="s">
        <v>1080</v>
      </c>
      <c r="D53" s="32" t="s">
        <v>646</v>
      </c>
      <c r="E53" s="8" t="s">
        <v>25</v>
      </c>
      <c r="F53" s="8" t="s">
        <v>26</v>
      </c>
      <c r="G53" s="8" t="s">
        <v>1081</v>
      </c>
      <c r="H53" s="8" t="s">
        <v>1082</v>
      </c>
      <c r="I53" s="8" t="s">
        <v>1085</v>
      </c>
      <c r="J53" s="8">
        <v>64</v>
      </c>
      <c r="K53" s="8">
        <v>70</v>
      </c>
      <c r="L53" s="8">
        <v>8</v>
      </c>
      <c r="M53" s="8">
        <v>94</v>
      </c>
      <c r="N53" s="8" t="s">
        <v>659</v>
      </c>
      <c r="O53" s="8" t="s">
        <v>662</v>
      </c>
      <c r="P53" s="8" t="s">
        <v>663</v>
      </c>
      <c r="Q53" s="8" t="s">
        <v>664</v>
      </c>
      <c r="R53" s="8" t="s">
        <v>665</v>
      </c>
      <c r="S53" s="8">
        <v>2011</v>
      </c>
      <c r="T53" s="8" t="s">
        <v>1091</v>
      </c>
      <c r="U53" s="8" t="str">
        <f>HYPERLINK("http://dx.doi.org/10.1109/TNSRE.2011.2153874","http://dx.doi.org/10.1109/TNSRE.2011.2153874")</f>
        <v>http://dx.doi.org/10.1109/TNSRE.2011.2153874</v>
      </c>
      <c r="V53" s="8" t="s">
        <v>667</v>
      </c>
      <c r="W53" s="8" t="s">
        <v>92</v>
      </c>
      <c r="X53" s="8" t="s">
        <v>1092</v>
      </c>
      <c r="Y53" s="8">
        <v>21609889</v>
      </c>
      <c r="Z53" s="8" t="s">
        <v>137</v>
      </c>
      <c r="AA53" s="8" t="s">
        <v>1093</v>
      </c>
      <c r="AB53" s="8" t="str">
        <f>HYPERLINK("https%3A%2F%2Fwww.webofscience.com%2Fwos%2Fwoscc%2Ffull-record%2FWOS:000293754800013","View Full Record in Web of Science")</f>
        <v>View Full Record in Web of Science</v>
      </c>
    </row>
    <row r="54" spans="1:28" ht="43.2" x14ac:dyDescent="0.3">
      <c r="A54" s="17">
        <v>52</v>
      </c>
      <c r="B54" s="21" t="s">
        <v>1095</v>
      </c>
      <c r="C54" s="21" t="s">
        <v>1096</v>
      </c>
      <c r="D54" s="32" t="s">
        <v>1097</v>
      </c>
      <c r="E54" s="8" t="s">
        <v>25</v>
      </c>
      <c r="F54" s="8" t="s">
        <v>26</v>
      </c>
      <c r="G54" s="8" t="s">
        <v>1098</v>
      </c>
      <c r="H54" s="8" t="s">
        <v>1099</v>
      </c>
      <c r="I54" s="8" t="s">
        <v>1102</v>
      </c>
      <c r="J54" s="8">
        <v>60</v>
      </c>
      <c r="K54" s="8">
        <v>69</v>
      </c>
      <c r="L54" s="8">
        <v>14</v>
      </c>
      <c r="M54" s="8">
        <v>169</v>
      </c>
      <c r="N54" s="8" t="s">
        <v>659</v>
      </c>
      <c r="O54" s="8" t="s">
        <v>1110</v>
      </c>
      <c r="P54" s="8" t="s">
        <v>1111</v>
      </c>
      <c r="Q54" s="8" t="s">
        <v>1112</v>
      </c>
      <c r="R54" s="8" t="s">
        <v>1113</v>
      </c>
      <c r="S54" s="8">
        <v>2018</v>
      </c>
      <c r="T54" s="8" t="s">
        <v>1114</v>
      </c>
      <c r="U54" s="8" t="str">
        <f>HYPERLINK("http://dx.doi.org/10.1109/THMS.2018.2791562","http://dx.doi.org/10.1109/THMS.2018.2791562")</f>
        <v>http://dx.doi.org/10.1109/THMS.2018.2791562</v>
      </c>
      <c r="V54" s="8" t="s">
        <v>714</v>
      </c>
      <c r="W54" s="8" t="s">
        <v>92</v>
      </c>
      <c r="X54" s="8" t="s">
        <v>1115</v>
      </c>
      <c r="Y54" s="8">
        <v>30345182</v>
      </c>
      <c r="Z54" s="8" t="s">
        <v>137</v>
      </c>
      <c r="AA54" s="8" t="s">
        <v>1116</v>
      </c>
      <c r="AB54" s="8" t="str">
        <f>HYPERLINK("https%3A%2F%2Fwww.webofscience.com%2Fwos%2Fwoscc%2Ffull-record%2FWOS:000427629300003","View Full Record in Web of Science")</f>
        <v>View Full Record in Web of Science</v>
      </c>
    </row>
    <row r="55" spans="1:28" ht="43.2" x14ac:dyDescent="0.3">
      <c r="A55" s="16">
        <v>53</v>
      </c>
      <c r="B55" s="21" t="s">
        <v>1118</v>
      </c>
      <c r="C55" s="21" t="s">
        <v>1119</v>
      </c>
      <c r="D55" s="32" t="s">
        <v>1120</v>
      </c>
      <c r="E55" s="8" t="s">
        <v>25</v>
      </c>
      <c r="F55" s="8" t="s">
        <v>26</v>
      </c>
      <c r="G55" s="8" t="s">
        <v>1121</v>
      </c>
      <c r="H55" s="8" t="s">
        <v>1122</v>
      </c>
      <c r="I55" s="8" t="s">
        <v>1125</v>
      </c>
      <c r="J55" s="8">
        <v>60</v>
      </c>
      <c r="K55" s="8">
        <v>63</v>
      </c>
      <c r="L55" s="8">
        <v>4</v>
      </c>
      <c r="M55" s="8">
        <v>97</v>
      </c>
      <c r="N55" s="8" t="s">
        <v>1133</v>
      </c>
      <c r="O55" s="8" t="s">
        <v>1136</v>
      </c>
      <c r="P55" s="8" t="s">
        <v>1137</v>
      </c>
      <c r="Q55" s="8" t="s">
        <v>1138</v>
      </c>
      <c r="R55" s="8" t="s">
        <v>1139</v>
      </c>
      <c r="S55" s="8">
        <v>2017</v>
      </c>
      <c r="T55" s="8" t="s">
        <v>1141</v>
      </c>
      <c r="U55" s="8" t="str">
        <f>HYPERLINK("http://dx.doi.org/10.1016/j.jneumeth.2017.07.029","http://dx.doi.org/10.1016/j.jneumeth.2017.07.029")</f>
        <v>http://dx.doi.org/10.1016/j.jneumeth.2017.07.029</v>
      </c>
      <c r="V55" s="8" t="s">
        <v>1142</v>
      </c>
      <c r="W55" s="8" t="s">
        <v>524</v>
      </c>
      <c r="X55" s="8" t="s">
        <v>1144</v>
      </c>
      <c r="Y55" s="8">
        <v>28760486</v>
      </c>
      <c r="Z55" s="8" t="s">
        <v>21</v>
      </c>
      <c r="AA55" s="8" t="s">
        <v>1145</v>
      </c>
      <c r="AB55" s="8" t="str">
        <f>HYPERLINK("https%3A%2F%2Fwww.webofscience.com%2Fwos%2Fwoscc%2Ffull-record%2FWOS:000411776000012","View Full Record in Web of Science")</f>
        <v>View Full Record in Web of Science</v>
      </c>
    </row>
    <row r="56" spans="1:28" ht="86.4" x14ac:dyDescent="0.3">
      <c r="A56" s="17">
        <v>54</v>
      </c>
      <c r="B56" s="21" t="s">
        <v>1147</v>
      </c>
      <c r="C56" s="21" t="s">
        <v>1148</v>
      </c>
      <c r="D56" s="32" t="s">
        <v>1149</v>
      </c>
      <c r="E56" s="8" t="s">
        <v>25</v>
      </c>
      <c r="F56" s="8" t="s">
        <v>26</v>
      </c>
      <c r="G56" s="8" t="s">
        <v>1150</v>
      </c>
      <c r="H56" s="8" t="s">
        <v>1151</v>
      </c>
      <c r="I56" s="8" t="s">
        <v>1154</v>
      </c>
      <c r="J56" s="8">
        <v>59</v>
      </c>
      <c r="K56" s="8">
        <v>60</v>
      </c>
      <c r="L56" s="8">
        <v>11</v>
      </c>
      <c r="M56" s="8">
        <v>69</v>
      </c>
      <c r="N56" s="8" t="s">
        <v>153</v>
      </c>
      <c r="O56" s="8" t="s">
        <v>21</v>
      </c>
      <c r="P56" s="8" t="s">
        <v>1161</v>
      </c>
      <c r="Q56" s="8" t="s">
        <v>1162</v>
      </c>
      <c r="R56" s="8" t="s">
        <v>1163</v>
      </c>
      <c r="S56" s="8">
        <v>2018</v>
      </c>
      <c r="T56" s="8" t="s">
        <v>1165</v>
      </c>
      <c r="U56" s="8" t="str">
        <f>HYPERLINK("http://dx.doi.org/10.3389/fnins.2018.00477","http://dx.doi.org/10.3389/fnins.2018.00477")</f>
        <v>http://dx.doi.org/10.3389/fnins.2018.00477</v>
      </c>
      <c r="V56" s="8" t="s">
        <v>1166</v>
      </c>
      <c r="W56" s="8" t="s">
        <v>524</v>
      </c>
      <c r="X56" s="8" t="s">
        <v>1168</v>
      </c>
      <c r="Y56" s="8">
        <v>30061811</v>
      </c>
      <c r="Z56" s="8" t="s">
        <v>1169</v>
      </c>
      <c r="AA56" s="8" t="s">
        <v>1170</v>
      </c>
      <c r="AB56" s="8" t="str">
        <f>HYPERLINK("https%3A%2F%2Fwww.webofscience.com%2Fwos%2Fwoscc%2Ffull-record%2FWOS:000438536000001","View Full Record in Web of Science")</f>
        <v>View Full Record in Web of Science</v>
      </c>
    </row>
    <row r="57" spans="1:28" ht="57.6" x14ac:dyDescent="0.3">
      <c r="A57" s="16">
        <v>55</v>
      </c>
      <c r="B57" s="21" t="s">
        <v>1172</v>
      </c>
      <c r="C57" s="21" t="s">
        <v>1173</v>
      </c>
      <c r="D57" s="32" t="s">
        <v>24</v>
      </c>
      <c r="E57" s="8" t="s">
        <v>25</v>
      </c>
      <c r="F57" s="8" t="s">
        <v>26</v>
      </c>
      <c r="G57" s="8" t="s">
        <v>1174</v>
      </c>
      <c r="H57" s="8" t="s">
        <v>1175</v>
      </c>
      <c r="I57" s="8" t="s">
        <v>1178</v>
      </c>
      <c r="J57" s="8">
        <v>59</v>
      </c>
      <c r="K57" s="8">
        <v>74</v>
      </c>
      <c r="L57" s="8">
        <v>2</v>
      </c>
      <c r="M57" s="8">
        <v>50</v>
      </c>
      <c r="N57" s="8" t="s">
        <v>35</v>
      </c>
      <c r="O57" s="8" t="s">
        <v>38</v>
      </c>
      <c r="P57" s="8" t="s">
        <v>39</v>
      </c>
      <c r="Q57" s="8" t="s">
        <v>40</v>
      </c>
      <c r="R57" s="8" t="s">
        <v>41</v>
      </c>
      <c r="S57" s="8">
        <v>2017</v>
      </c>
      <c r="T57" s="8" t="s">
        <v>1186</v>
      </c>
      <c r="U57" s="8" t="str">
        <f>HYPERLINK("http://dx.doi.org/10.1007/s10803-017-3164-7","http://dx.doi.org/10.1007/s10803-017-3164-7")</f>
        <v>http://dx.doi.org/10.1007/s10803-017-3164-7</v>
      </c>
      <c r="V57" s="8" t="s">
        <v>44</v>
      </c>
      <c r="W57" s="8" t="s">
        <v>45</v>
      </c>
      <c r="X57" s="8" t="s">
        <v>1187</v>
      </c>
      <c r="Y57" s="8">
        <v>28540452</v>
      </c>
      <c r="Z57" s="8" t="s">
        <v>21</v>
      </c>
      <c r="AA57" s="8" t="s">
        <v>1188</v>
      </c>
      <c r="AB57" s="8" t="str">
        <f>HYPERLINK("https%3A%2F%2Fwww.webofscience.com%2Fwos%2Fwoscc%2Ffull-record%2FWOS:000405720900021","View Full Record in Web of Science")</f>
        <v>View Full Record in Web of Science</v>
      </c>
    </row>
    <row r="58" spans="1:28" ht="57.6" x14ac:dyDescent="0.3">
      <c r="A58" s="17">
        <v>56</v>
      </c>
      <c r="B58" s="21" t="s">
        <v>1190</v>
      </c>
      <c r="C58" s="21" t="s">
        <v>1191</v>
      </c>
      <c r="D58" s="32" t="s">
        <v>24</v>
      </c>
      <c r="E58" s="8" t="s">
        <v>25</v>
      </c>
      <c r="F58" s="8" t="s">
        <v>26</v>
      </c>
      <c r="G58" s="8" t="s">
        <v>1192</v>
      </c>
      <c r="H58" s="8" t="s">
        <v>1193</v>
      </c>
      <c r="I58" s="8" t="s">
        <v>921</v>
      </c>
      <c r="J58" s="8">
        <v>58</v>
      </c>
      <c r="K58" s="8">
        <v>68</v>
      </c>
      <c r="L58" s="8">
        <v>6</v>
      </c>
      <c r="M58" s="8">
        <v>89</v>
      </c>
      <c r="N58" s="8" t="s">
        <v>35</v>
      </c>
      <c r="O58" s="8" t="s">
        <v>38</v>
      </c>
      <c r="P58" s="8" t="s">
        <v>39</v>
      </c>
      <c r="Q58" s="8" t="s">
        <v>40</v>
      </c>
      <c r="R58" s="8" t="s">
        <v>41</v>
      </c>
      <c r="S58" s="8">
        <v>2014</v>
      </c>
      <c r="T58" s="8" t="s">
        <v>1201</v>
      </c>
      <c r="U58" s="8" t="str">
        <f>HYPERLINK("http://dx.doi.org/10.1007/s10803-014-2035-8","http://dx.doi.org/10.1007/s10803-014-2035-8")</f>
        <v>http://dx.doi.org/10.1007/s10803-014-2035-8</v>
      </c>
      <c r="V58" s="8" t="s">
        <v>44</v>
      </c>
      <c r="W58" s="8" t="s">
        <v>45</v>
      </c>
      <c r="X58" s="8" t="s">
        <v>1202</v>
      </c>
      <c r="Y58" s="8">
        <v>24419871</v>
      </c>
      <c r="Z58" s="8" t="s">
        <v>137</v>
      </c>
      <c r="AA58" s="8" t="s">
        <v>1203</v>
      </c>
      <c r="AB58" s="8" t="str">
        <f>HYPERLINK("https%3A%2F%2Fwww.webofscience.com%2Fwos%2Fwoscc%2Ffull-record%2FWOS:000337752800013","View Full Record in Web of Science")</f>
        <v>View Full Record in Web of Science</v>
      </c>
    </row>
    <row r="59" spans="1:28" ht="57.6" x14ac:dyDescent="0.3">
      <c r="A59" s="16">
        <v>57</v>
      </c>
      <c r="B59" s="21" t="s">
        <v>1205</v>
      </c>
      <c r="C59" s="21" t="s">
        <v>1206</v>
      </c>
      <c r="D59" s="32" t="s">
        <v>975</v>
      </c>
      <c r="E59" s="8" t="s">
        <v>25</v>
      </c>
      <c r="F59" s="8" t="s">
        <v>76</v>
      </c>
      <c r="G59" s="8" t="s">
        <v>1207</v>
      </c>
      <c r="H59" s="8" t="s">
        <v>1208</v>
      </c>
      <c r="I59" s="8" t="s">
        <v>1211</v>
      </c>
      <c r="J59" s="8">
        <v>57</v>
      </c>
      <c r="K59" s="8">
        <v>61</v>
      </c>
      <c r="L59" s="8">
        <v>4</v>
      </c>
      <c r="M59" s="8">
        <v>57</v>
      </c>
      <c r="N59" s="8" t="s">
        <v>110</v>
      </c>
      <c r="O59" s="8" t="s">
        <v>987</v>
      </c>
      <c r="P59" s="8" t="s">
        <v>988</v>
      </c>
      <c r="Q59" s="8" t="s">
        <v>989</v>
      </c>
      <c r="R59" s="8" t="s">
        <v>990</v>
      </c>
      <c r="S59" s="8">
        <v>2020</v>
      </c>
      <c r="T59" s="8" t="s">
        <v>1219</v>
      </c>
      <c r="U59" s="8" t="str">
        <f>HYPERLINK("http://dx.doi.org/10.1016/j.cpr.2020.101870","http://dx.doi.org/10.1016/j.cpr.2020.101870")</f>
        <v>http://dx.doi.org/10.1016/j.cpr.2020.101870</v>
      </c>
      <c r="V59" s="8" t="s">
        <v>992</v>
      </c>
      <c r="W59" s="8" t="s">
        <v>45</v>
      </c>
      <c r="X59" s="8" t="s">
        <v>1220</v>
      </c>
      <c r="Y59" s="8">
        <v>32712216</v>
      </c>
      <c r="Z59" s="8" t="s">
        <v>970</v>
      </c>
      <c r="AA59" s="8" t="s">
        <v>1221</v>
      </c>
      <c r="AB59" s="8" t="str">
        <f>HYPERLINK("https%3A%2F%2Fwww.webofscience.com%2Fwos%2Fwoscc%2Ffull-record%2FWOS:000562736400003","View Full Record in Web of Science")</f>
        <v>View Full Record in Web of Science</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6613-8C41-4D3D-A605-032DC36B5CEC}">
  <dimension ref="A1:AC24"/>
  <sheetViews>
    <sheetView topLeftCell="E1" zoomScale="80" zoomScaleNormal="80" workbookViewId="0">
      <selection activeCell="A3" sqref="A3"/>
    </sheetView>
  </sheetViews>
  <sheetFormatPr defaultColWidth="11.5546875" defaultRowHeight="14.4" x14ac:dyDescent="0.3"/>
  <cols>
    <col min="1" max="1" width="11.5546875" style="27"/>
    <col min="2" max="2" width="11.5546875" style="28"/>
    <col min="3" max="3" width="45.5546875" style="28" customWidth="1"/>
    <col min="4" max="4" width="54.88671875" style="28" customWidth="1"/>
    <col min="5" max="5" width="11.5546875" style="28"/>
    <col min="6" max="6" width="27.44140625" style="28" customWidth="1"/>
    <col min="7" max="7" width="55.109375" style="28" customWidth="1"/>
    <col min="8" max="8" width="38.44140625" style="28" customWidth="1"/>
    <col min="9" max="28" width="11.5546875" style="28"/>
    <col min="29" max="29" width="11.5546875" style="38"/>
    <col min="30" max="16384" width="11.5546875" style="11"/>
  </cols>
  <sheetData>
    <row r="1" spans="1:29" x14ac:dyDescent="0.3">
      <c r="A1" s="6" t="s">
        <v>7721</v>
      </c>
    </row>
    <row r="2" spans="1:29" s="3" customFormat="1" ht="40.200000000000003" customHeight="1" x14ac:dyDescent="0.3">
      <c r="A2" s="24"/>
      <c r="B2" s="20" t="s">
        <v>7669</v>
      </c>
      <c r="C2" s="20" t="s">
        <v>7672</v>
      </c>
      <c r="D2" s="20" t="s">
        <v>7673</v>
      </c>
      <c r="E2" s="7" t="s">
        <v>1</v>
      </c>
      <c r="F2" s="7" t="s">
        <v>7676</v>
      </c>
      <c r="G2" s="7" t="s">
        <v>7682</v>
      </c>
      <c r="H2" s="7" t="s">
        <v>2</v>
      </c>
      <c r="I2" s="7" t="s">
        <v>5</v>
      </c>
      <c r="J2" s="7" t="s">
        <v>7690</v>
      </c>
      <c r="K2" s="7" t="s">
        <v>7717</v>
      </c>
      <c r="L2" s="7" t="s">
        <v>7692</v>
      </c>
      <c r="M2" s="7" t="s">
        <v>7693</v>
      </c>
      <c r="N2" s="7" t="s">
        <v>7</v>
      </c>
      <c r="O2" s="7" t="s">
        <v>8</v>
      </c>
      <c r="P2" s="7" t="s">
        <v>9</v>
      </c>
      <c r="Q2" s="7" t="s">
        <v>7696</v>
      </c>
      <c r="R2" s="7" t="s">
        <v>7697</v>
      </c>
      <c r="S2" s="7" t="s">
        <v>7699</v>
      </c>
      <c r="T2" s="7" t="s">
        <v>14</v>
      </c>
      <c r="U2" s="7" t="s">
        <v>15</v>
      </c>
      <c r="V2" s="7" t="s">
        <v>7708</v>
      </c>
      <c r="W2" s="7" t="s">
        <v>7709</v>
      </c>
      <c r="X2" s="7" t="s">
        <v>7711</v>
      </c>
      <c r="Y2" s="7" t="s">
        <v>17</v>
      </c>
      <c r="Z2" s="7" t="s">
        <v>7712</v>
      </c>
      <c r="AA2" s="7" t="s">
        <v>18</v>
      </c>
      <c r="AB2" s="37" t="s">
        <v>7716</v>
      </c>
      <c r="AC2" s="20" t="s">
        <v>7718</v>
      </c>
    </row>
    <row r="3" spans="1:29" ht="40.200000000000003" customHeight="1" x14ac:dyDescent="0.3">
      <c r="A3" s="25">
        <v>1</v>
      </c>
      <c r="B3" s="23" t="s">
        <v>362</v>
      </c>
      <c r="C3" s="23" t="s">
        <v>363</v>
      </c>
      <c r="D3" s="29" t="s">
        <v>364</v>
      </c>
      <c r="E3" s="23" t="s">
        <v>25</v>
      </c>
      <c r="F3" s="23" t="s">
        <v>366</v>
      </c>
      <c r="G3" s="23" t="s">
        <v>367</v>
      </c>
      <c r="H3" s="23" t="s">
        <v>368</v>
      </c>
      <c r="I3" s="23" t="s">
        <v>371</v>
      </c>
      <c r="J3" s="23">
        <v>97</v>
      </c>
      <c r="K3" s="23">
        <v>145</v>
      </c>
      <c r="L3" s="23">
        <v>154</v>
      </c>
      <c r="M3" s="23">
        <v>482</v>
      </c>
      <c r="N3" s="23" t="s">
        <v>375</v>
      </c>
      <c r="O3" s="23" t="s">
        <v>378</v>
      </c>
      <c r="P3" s="23" t="s">
        <v>21</v>
      </c>
      <c r="Q3" s="23" t="s">
        <v>379</v>
      </c>
      <c r="R3" s="23" t="s">
        <v>380</v>
      </c>
      <c r="S3" s="23">
        <v>2021</v>
      </c>
      <c r="T3" s="23" t="s">
        <v>381</v>
      </c>
      <c r="U3" s="23" t="s">
        <v>7643</v>
      </c>
      <c r="V3" s="23" t="s">
        <v>382</v>
      </c>
      <c r="W3" s="23" t="s">
        <v>383</v>
      </c>
      <c r="X3" s="23" t="s">
        <v>46</v>
      </c>
      <c r="Y3" s="23" t="s">
        <v>384</v>
      </c>
      <c r="Z3" s="23">
        <v>33606946</v>
      </c>
      <c r="AA3" s="23" t="s">
        <v>385</v>
      </c>
      <c r="AB3" s="30" t="s">
        <v>386</v>
      </c>
      <c r="AC3" s="23" t="str">
        <f>HYPERLINK("https%3A%2F%2Fwww.webofscience.com%2Fwos%2Fwoscc%2Ffull-record%2FWOS:000652495100020","View Full Record in Web of Science")</f>
        <v>View Full Record in Web of Science</v>
      </c>
    </row>
    <row r="4" spans="1:29" ht="40.200000000000003" customHeight="1" x14ac:dyDescent="0.3">
      <c r="A4" s="26">
        <v>2</v>
      </c>
      <c r="B4" s="31" t="s">
        <v>5265</v>
      </c>
      <c r="C4" s="31" t="s">
        <v>5266</v>
      </c>
      <c r="D4" s="32" t="s">
        <v>5267</v>
      </c>
      <c r="E4" s="31" t="s">
        <v>25</v>
      </c>
      <c r="F4" s="31" t="s">
        <v>2836</v>
      </c>
      <c r="G4" s="31" t="s">
        <v>5268</v>
      </c>
      <c r="H4" s="31" t="s">
        <v>5269</v>
      </c>
      <c r="I4" s="31" t="s">
        <v>5272</v>
      </c>
      <c r="J4" s="31">
        <v>68</v>
      </c>
      <c r="K4" s="31">
        <v>3</v>
      </c>
      <c r="L4" s="31">
        <v>3</v>
      </c>
      <c r="M4" s="31">
        <v>101</v>
      </c>
      <c r="N4" s="31" t="s">
        <v>904</v>
      </c>
      <c r="O4" s="31" t="s">
        <v>5279</v>
      </c>
      <c r="P4" s="31" t="s">
        <v>5280</v>
      </c>
      <c r="Q4" s="31" t="s">
        <v>5281</v>
      </c>
      <c r="R4" s="31" t="s">
        <v>5282</v>
      </c>
      <c r="S4" s="31">
        <v>2024</v>
      </c>
      <c r="T4" s="31" t="s">
        <v>5284</v>
      </c>
      <c r="U4" s="31" t="s">
        <v>7644</v>
      </c>
      <c r="V4" s="31" t="s">
        <v>3118</v>
      </c>
      <c r="W4" s="31" t="s">
        <v>1907</v>
      </c>
      <c r="X4" s="31" t="s">
        <v>715</v>
      </c>
      <c r="Y4" s="31" t="s">
        <v>5286</v>
      </c>
      <c r="Z4" s="31" t="s">
        <v>21</v>
      </c>
      <c r="AA4" s="31" t="s">
        <v>21</v>
      </c>
      <c r="AB4" s="33" t="s">
        <v>5287</v>
      </c>
      <c r="AC4" s="31" t="str">
        <f>HYPERLINK("https%3A%2F%2Fwww.webofscience.com%2Fwos%2Fwoscc%2Ffull-record%2FWOS:001293460100001","View Full Record in Web of Science")</f>
        <v>View Full Record in Web of Science</v>
      </c>
    </row>
    <row r="5" spans="1:29" ht="40.200000000000003" customHeight="1" x14ac:dyDescent="0.3">
      <c r="A5" s="25">
        <v>3</v>
      </c>
      <c r="B5" s="31" t="s">
        <v>4261</v>
      </c>
      <c r="C5" s="31" t="s">
        <v>4262</v>
      </c>
      <c r="D5" s="32" t="s">
        <v>2552</v>
      </c>
      <c r="E5" s="31" t="s">
        <v>25</v>
      </c>
      <c r="F5" s="31" t="s">
        <v>26</v>
      </c>
      <c r="G5" s="31" t="s">
        <v>4263</v>
      </c>
      <c r="H5" s="31" t="s">
        <v>4264</v>
      </c>
      <c r="I5" s="31" t="s">
        <v>4267</v>
      </c>
      <c r="J5" s="31">
        <v>60</v>
      </c>
      <c r="K5" s="31">
        <v>8</v>
      </c>
      <c r="L5" s="31">
        <v>8</v>
      </c>
      <c r="M5" s="31">
        <v>98</v>
      </c>
      <c r="N5" s="31" t="s">
        <v>110</v>
      </c>
      <c r="O5" s="31" t="s">
        <v>2561</v>
      </c>
      <c r="P5" s="31" t="s">
        <v>2562</v>
      </c>
      <c r="Q5" s="31" t="s">
        <v>2563</v>
      </c>
      <c r="R5" s="31" t="s">
        <v>2564</v>
      </c>
      <c r="S5" s="31">
        <v>2024</v>
      </c>
      <c r="T5" s="31" t="s">
        <v>4272</v>
      </c>
      <c r="U5" s="31" t="s">
        <v>7645</v>
      </c>
      <c r="V5" s="31" t="s">
        <v>887</v>
      </c>
      <c r="W5" s="31" t="s">
        <v>45</v>
      </c>
      <c r="X5" s="31" t="s">
        <v>888</v>
      </c>
      <c r="Y5" s="31" t="s">
        <v>4274</v>
      </c>
      <c r="Z5" s="31">
        <v>38941690</v>
      </c>
      <c r="AA5" s="31" t="s">
        <v>21</v>
      </c>
      <c r="AB5" s="33" t="s">
        <v>4275</v>
      </c>
      <c r="AC5" s="31" t="str">
        <f>HYPERLINK("https%3A%2F%2Fwww.webofscience.com%2Fwos%2Fwoscc%2Ffull-record%2FWOS:001266832800001","View Full Record in Web of Science")</f>
        <v>View Full Record in Web of Science</v>
      </c>
    </row>
    <row r="6" spans="1:29" ht="40.200000000000003" customHeight="1" x14ac:dyDescent="0.3">
      <c r="A6" s="26">
        <v>4</v>
      </c>
      <c r="B6" s="31" t="s">
        <v>4012</v>
      </c>
      <c r="C6" s="31" t="s">
        <v>4013</v>
      </c>
      <c r="D6" s="32" t="s">
        <v>1443</v>
      </c>
      <c r="E6" s="31" t="s">
        <v>25</v>
      </c>
      <c r="F6" s="31" t="s">
        <v>76</v>
      </c>
      <c r="G6" s="31" t="s">
        <v>4014</v>
      </c>
      <c r="H6" s="31" t="s">
        <v>4015</v>
      </c>
      <c r="I6" s="31" t="s">
        <v>4018</v>
      </c>
      <c r="J6" s="31">
        <v>44</v>
      </c>
      <c r="K6" s="31">
        <v>10</v>
      </c>
      <c r="L6" s="31">
        <v>11</v>
      </c>
      <c r="M6" s="31">
        <v>57</v>
      </c>
      <c r="N6" s="31" t="s">
        <v>493</v>
      </c>
      <c r="O6" s="31" t="s">
        <v>1453</v>
      </c>
      <c r="P6" s="31" t="s">
        <v>1454</v>
      </c>
      <c r="Q6" s="31" t="s">
        <v>1455</v>
      </c>
      <c r="R6" s="31" t="s">
        <v>1456</v>
      </c>
      <c r="S6" s="31">
        <v>2024</v>
      </c>
      <c r="T6" s="31" t="s">
        <v>4027</v>
      </c>
      <c r="U6" s="31" t="s">
        <v>7646</v>
      </c>
      <c r="V6" s="31" t="s">
        <v>503</v>
      </c>
      <c r="W6" s="31" t="s">
        <v>45</v>
      </c>
      <c r="X6" s="31" t="s">
        <v>503</v>
      </c>
      <c r="Y6" s="31" t="s">
        <v>4028</v>
      </c>
      <c r="Z6" s="31" t="s">
        <v>21</v>
      </c>
      <c r="AA6" s="31" t="s">
        <v>21</v>
      </c>
      <c r="AB6" s="34" t="s">
        <v>4029</v>
      </c>
      <c r="AC6" s="31" t="str">
        <f>HYPERLINK("https%3A%2F%2Fwww.webofscience.com%2Fwos%2Fwoscc%2Ffull-record%2FWOS:001288460000024","View Full Record in Web of Science")</f>
        <v>View Full Record in Web of Science</v>
      </c>
    </row>
    <row r="7" spans="1:29" ht="40.200000000000003" customHeight="1" x14ac:dyDescent="0.3">
      <c r="A7" s="25">
        <v>5</v>
      </c>
      <c r="B7" s="23" t="s">
        <v>320</v>
      </c>
      <c r="C7" s="23" t="s">
        <v>321</v>
      </c>
      <c r="D7" s="29" t="s">
        <v>276</v>
      </c>
      <c r="E7" s="23" t="s">
        <v>25</v>
      </c>
      <c r="F7" s="23" t="s">
        <v>26</v>
      </c>
      <c r="G7" s="23" t="s">
        <v>322</v>
      </c>
      <c r="H7" s="23" t="s">
        <v>323</v>
      </c>
      <c r="I7" s="23" t="s">
        <v>326</v>
      </c>
      <c r="J7" s="23">
        <v>41</v>
      </c>
      <c r="K7" s="23">
        <v>152</v>
      </c>
      <c r="L7" s="23">
        <v>173</v>
      </c>
      <c r="M7" s="23">
        <v>302</v>
      </c>
      <c r="N7" s="23" t="s">
        <v>110</v>
      </c>
      <c r="O7" s="23" t="s">
        <v>286</v>
      </c>
      <c r="P7" s="23" t="s">
        <v>287</v>
      </c>
      <c r="Q7" s="23" t="s">
        <v>288</v>
      </c>
      <c r="R7" s="23" t="s">
        <v>289</v>
      </c>
      <c r="S7" s="23">
        <v>2018</v>
      </c>
      <c r="T7" s="23" t="s">
        <v>335</v>
      </c>
      <c r="U7" s="23" t="s">
        <v>7647</v>
      </c>
      <c r="V7" s="23" t="s">
        <v>292</v>
      </c>
      <c r="W7" s="23" t="s">
        <v>92</v>
      </c>
      <c r="X7" s="23" t="s">
        <v>293</v>
      </c>
      <c r="Y7" s="23" t="s">
        <v>336</v>
      </c>
      <c r="Z7" s="23" t="s">
        <v>21</v>
      </c>
      <c r="AA7" s="23" t="s">
        <v>21</v>
      </c>
      <c r="AB7" s="35" t="s">
        <v>337</v>
      </c>
      <c r="AC7" s="23" t="str">
        <f>HYPERLINK("https%3A%2F%2Fwww.webofscience.com%2Fwos%2Fwoscc%2Ffull-record%2FWOS:000418968600001","View Full Record in Web of Science")</f>
        <v>View Full Record in Web of Science</v>
      </c>
    </row>
    <row r="8" spans="1:29" ht="40.200000000000003" customHeight="1" x14ac:dyDescent="0.3">
      <c r="A8" s="26">
        <v>6</v>
      </c>
      <c r="B8" s="31" t="s">
        <v>4240</v>
      </c>
      <c r="C8" s="31" t="s">
        <v>4241</v>
      </c>
      <c r="D8" s="32" t="s">
        <v>4242</v>
      </c>
      <c r="E8" s="31" t="s">
        <v>25</v>
      </c>
      <c r="F8" s="31" t="s">
        <v>76</v>
      </c>
      <c r="G8" s="31" t="s">
        <v>4243</v>
      </c>
      <c r="H8" s="31" t="s">
        <v>4244</v>
      </c>
      <c r="I8" s="31" t="s">
        <v>4247</v>
      </c>
      <c r="J8" s="31">
        <v>41</v>
      </c>
      <c r="K8" s="31">
        <v>8</v>
      </c>
      <c r="L8" s="31">
        <v>8</v>
      </c>
      <c r="M8" s="31">
        <v>50</v>
      </c>
      <c r="N8" s="31" t="s">
        <v>1133</v>
      </c>
      <c r="O8" s="31" t="s">
        <v>4252</v>
      </c>
      <c r="P8" s="31" t="s">
        <v>4253</v>
      </c>
      <c r="Q8" s="31" t="s">
        <v>4254</v>
      </c>
      <c r="R8" s="31" t="s">
        <v>4255</v>
      </c>
      <c r="S8" s="31">
        <v>2024</v>
      </c>
      <c r="T8" s="31" t="s">
        <v>4256</v>
      </c>
      <c r="U8" s="31" t="s">
        <v>7648</v>
      </c>
      <c r="V8" s="31" t="s">
        <v>161</v>
      </c>
      <c r="W8" s="31" t="s">
        <v>524</v>
      </c>
      <c r="X8" s="31" t="s">
        <v>161</v>
      </c>
      <c r="Y8" s="31" t="s">
        <v>4258</v>
      </c>
      <c r="Z8" s="31">
        <v>39276483</v>
      </c>
      <c r="AA8" s="31" t="s">
        <v>21</v>
      </c>
      <c r="AB8" s="34" t="s">
        <v>4259</v>
      </c>
      <c r="AC8" s="31" t="str">
        <f>HYPERLINK("https%3A%2F%2Fwww.webofscience.com%2Fwos%2Fwoscc%2Ffull-record%2FWOS:001316804800001","View Full Record in Web of Science")</f>
        <v>View Full Record in Web of Science</v>
      </c>
    </row>
    <row r="9" spans="1:29" ht="40.200000000000003" customHeight="1" x14ac:dyDescent="0.3">
      <c r="A9" s="25">
        <v>7</v>
      </c>
      <c r="B9" s="23" t="s">
        <v>867</v>
      </c>
      <c r="C9" s="23" t="s">
        <v>868</v>
      </c>
      <c r="D9" s="29" t="s">
        <v>869</v>
      </c>
      <c r="E9" s="23" t="s">
        <v>25</v>
      </c>
      <c r="F9" s="23" t="s">
        <v>26</v>
      </c>
      <c r="G9" s="23" t="s">
        <v>870</v>
      </c>
      <c r="H9" s="23" t="s">
        <v>871</v>
      </c>
      <c r="I9" s="23" t="s">
        <v>874</v>
      </c>
      <c r="J9" s="23">
        <v>40</v>
      </c>
      <c r="K9" s="23">
        <v>73</v>
      </c>
      <c r="L9" s="23">
        <v>77</v>
      </c>
      <c r="M9" s="23">
        <v>197</v>
      </c>
      <c r="N9" s="23" t="s">
        <v>733</v>
      </c>
      <c r="O9" s="23" t="s">
        <v>881</v>
      </c>
      <c r="P9" s="23" t="s">
        <v>882</v>
      </c>
      <c r="Q9" s="23" t="s">
        <v>883</v>
      </c>
      <c r="R9" s="23" t="s">
        <v>884</v>
      </c>
      <c r="S9" s="23">
        <v>2022</v>
      </c>
      <c r="T9" s="23" t="s">
        <v>885</v>
      </c>
      <c r="U9" s="23" t="s">
        <v>7649</v>
      </c>
      <c r="V9" s="23" t="s">
        <v>887</v>
      </c>
      <c r="W9" s="23" t="s">
        <v>45</v>
      </c>
      <c r="X9" s="23" t="s">
        <v>888</v>
      </c>
      <c r="Y9" s="23" t="s">
        <v>889</v>
      </c>
      <c r="Z9" s="23" t="s">
        <v>21</v>
      </c>
      <c r="AA9" s="23" t="s">
        <v>21</v>
      </c>
      <c r="AB9" s="35" t="s">
        <v>890</v>
      </c>
      <c r="AC9" s="23" t="str">
        <f>HYPERLINK("https%3A%2F%2Fwww.webofscience.com%2Fwos%2Fwoscc%2Ffull-record%2FWOS:000570666400001","View Full Record in Web of Science")</f>
        <v>View Full Record in Web of Science</v>
      </c>
    </row>
    <row r="10" spans="1:29" ht="40.200000000000003" customHeight="1" x14ac:dyDescent="0.3">
      <c r="A10" s="26">
        <v>8</v>
      </c>
      <c r="B10" s="31" t="s">
        <v>6209</v>
      </c>
      <c r="C10" s="31" t="s">
        <v>6210</v>
      </c>
      <c r="D10" s="32" t="s">
        <v>6211</v>
      </c>
      <c r="E10" s="31" t="s">
        <v>25</v>
      </c>
      <c r="F10" s="31" t="s">
        <v>26</v>
      </c>
      <c r="G10" s="31" t="s">
        <v>6212</v>
      </c>
      <c r="H10" s="31" t="s">
        <v>6213</v>
      </c>
      <c r="I10" s="31" t="s">
        <v>6216</v>
      </c>
      <c r="J10" s="31">
        <v>37</v>
      </c>
      <c r="K10" s="31">
        <v>1</v>
      </c>
      <c r="L10" s="31">
        <v>1</v>
      </c>
      <c r="M10" s="31">
        <v>59</v>
      </c>
      <c r="N10" s="31" t="s">
        <v>349</v>
      </c>
      <c r="O10" s="31" t="s">
        <v>6223</v>
      </c>
      <c r="P10" s="31" t="s">
        <v>6224</v>
      </c>
      <c r="Q10" s="31" t="s">
        <v>6225</v>
      </c>
      <c r="R10" s="31" t="s">
        <v>6226</v>
      </c>
      <c r="S10" s="31">
        <v>2025</v>
      </c>
      <c r="T10" s="31" t="s">
        <v>6228</v>
      </c>
      <c r="U10" s="31" t="s">
        <v>7650</v>
      </c>
      <c r="V10" s="31" t="s">
        <v>6229</v>
      </c>
      <c r="W10" s="31" t="s">
        <v>45</v>
      </c>
      <c r="X10" s="31" t="s">
        <v>6230</v>
      </c>
      <c r="Y10" s="31" t="s">
        <v>6231</v>
      </c>
      <c r="Z10" s="31">
        <v>39109573</v>
      </c>
      <c r="AA10" s="31" t="s">
        <v>21</v>
      </c>
      <c r="AB10" s="34" t="s">
        <v>6232</v>
      </c>
      <c r="AC10" s="31" t="str">
        <f>HYPERLINK("https%3A%2F%2Fwww.webofscience.com%2Fwos%2Fwoscc%2Ffull-record%2FWOS:001285352000001","View Full Record in Web of Science")</f>
        <v>View Full Record in Web of Science</v>
      </c>
    </row>
    <row r="11" spans="1:29" ht="40.200000000000003" customHeight="1" x14ac:dyDescent="0.3">
      <c r="A11" s="25">
        <v>9</v>
      </c>
      <c r="B11" s="31" t="s">
        <v>2171</v>
      </c>
      <c r="C11" s="31" t="s">
        <v>2172</v>
      </c>
      <c r="D11" s="32" t="s">
        <v>2173</v>
      </c>
      <c r="E11" s="31" t="s">
        <v>25</v>
      </c>
      <c r="F11" s="31" t="s">
        <v>76</v>
      </c>
      <c r="G11" s="31" t="s">
        <v>2174</v>
      </c>
      <c r="H11" s="31" t="s">
        <v>2175</v>
      </c>
      <c r="I11" s="31" t="s">
        <v>2178</v>
      </c>
      <c r="J11" s="31">
        <v>36</v>
      </c>
      <c r="K11" s="31">
        <v>33</v>
      </c>
      <c r="L11" s="31">
        <v>33</v>
      </c>
      <c r="M11" s="31">
        <v>204</v>
      </c>
      <c r="N11" s="31" t="s">
        <v>193</v>
      </c>
      <c r="O11" s="31" t="s">
        <v>21</v>
      </c>
      <c r="P11" s="31" t="s">
        <v>2183</v>
      </c>
      <c r="Q11" s="31" t="s">
        <v>2184</v>
      </c>
      <c r="R11" s="31" t="s">
        <v>2185</v>
      </c>
      <c r="S11" s="31">
        <v>2022</v>
      </c>
      <c r="T11" s="31" t="s">
        <v>2186</v>
      </c>
      <c r="U11" s="31" t="s">
        <v>7651</v>
      </c>
      <c r="V11" s="31" t="s">
        <v>2187</v>
      </c>
      <c r="W11" s="31" t="s">
        <v>92</v>
      </c>
      <c r="X11" s="31" t="s">
        <v>2188</v>
      </c>
      <c r="Y11" s="31" t="s">
        <v>2189</v>
      </c>
      <c r="Z11" s="31" t="s">
        <v>21</v>
      </c>
      <c r="AA11" s="31" t="s">
        <v>1909</v>
      </c>
      <c r="AB11" s="34" t="s">
        <v>2190</v>
      </c>
      <c r="AC11" s="31" t="str">
        <f>HYPERLINK("https%3A%2F%2Fwww.webofscience.com%2Fwos%2Fwoscc%2Ffull-record%2FWOS:000845188400001","View Full Record in Web of Science")</f>
        <v>View Full Record in Web of Science</v>
      </c>
    </row>
    <row r="12" spans="1:29" ht="40.200000000000003" customHeight="1" x14ac:dyDescent="0.3">
      <c r="A12" s="26">
        <v>10</v>
      </c>
      <c r="B12" s="23" t="s">
        <v>806</v>
      </c>
      <c r="C12" s="23" t="s">
        <v>807</v>
      </c>
      <c r="D12" s="29" t="s">
        <v>808</v>
      </c>
      <c r="E12" s="23" t="s">
        <v>25</v>
      </c>
      <c r="F12" s="23" t="s">
        <v>76</v>
      </c>
      <c r="G12" s="23" t="s">
        <v>809</v>
      </c>
      <c r="H12" s="23" t="s">
        <v>810</v>
      </c>
      <c r="I12" s="23" t="s">
        <v>813</v>
      </c>
      <c r="J12" s="23">
        <v>31</v>
      </c>
      <c r="K12" s="23">
        <v>75</v>
      </c>
      <c r="L12" s="23">
        <v>78</v>
      </c>
      <c r="M12" s="23">
        <v>152</v>
      </c>
      <c r="N12" s="23" t="s">
        <v>193</v>
      </c>
      <c r="O12" s="23" t="s">
        <v>21</v>
      </c>
      <c r="P12" s="23" t="s">
        <v>821</v>
      </c>
      <c r="Q12" s="23" t="s">
        <v>822</v>
      </c>
      <c r="R12" s="23" t="s">
        <v>823</v>
      </c>
      <c r="S12" s="23">
        <v>2022</v>
      </c>
      <c r="T12" s="23" t="s">
        <v>824</v>
      </c>
      <c r="U12" s="23" t="s">
        <v>7652</v>
      </c>
      <c r="V12" s="23" t="s">
        <v>825</v>
      </c>
      <c r="W12" s="23" t="s">
        <v>45</v>
      </c>
      <c r="X12" s="23" t="s">
        <v>46</v>
      </c>
      <c r="Y12" s="23" t="s">
        <v>826</v>
      </c>
      <c r="Z12" s="23">
        <v>35621435</v>
      </c>
      <c r="AA12" s="23" t="s">
        <v>827</v>
      </c>
      <c r="AB12" s="35" t="s">
        <v>828</v>
      </c>
      <c r="AC12" s="23" t="str">
        <f>HYPERLINK("https%3A%2F%2Fwww.webofscience.com%2Fwos%2Fwoscc%2Ffull-record%2FWOS:000801670600001","View Full Record in Web of Science")</f>
        <v>View Full Record in Web of Science</v>
      </c>
    </row>
    <row r="13" spans="1:29" ht="40.200000000000003" customHeight="1" x14ac:dyDescent="0.3">
      <c r="A13" s="25">
        <v>11</v>
      </c>
      <c r="B13" s="23" t="s">
        <v>140</v>
      </c>
      <c r="C13" s="23" t="s">
        <v>141</v>
      </c>
      <c r="D13" s="29" t="s">
        <v>142</v>
      </c>
      <c r="E13" s="23" t="s">
        <v>25</v>
      </c>
      <c r="F13" s="23" t="s">
        <v>76</v>
      </c>
      <c r="G13" s="23" t="s">
        <v>143</v>
      </c>
      <c r="H13" s="23" t="s">
        <v>144</v>
      </c>
      <c r="I13" s="23" t="s">
        <v>147</v>
      </c>
      <c r="J13" s="23">
        <v>29</v>
      </c>
      <c r="K13" s="23">
        <v>225</v>
      </c>
      <c r="L13" s="23">
        <v>243</v>
      </c>
      <c r="M13" s="23">
        <v>294</v>
      </c>
      <c r="N13" s="23" t="s">
        <v>153</v>
      </c>
      <c r="O13" s="23" t="s">
        <v>156</v>
      </c>
      <c r="P13" s="23" t="s">
        <v>21</v>
      </c>
      <c r="Q13" s="23" t="s">
        <v>157</v>
      </c>
      <c r="R13" s="23" t="s">
        <v>158</v>
      </c>
      <c r="S13" s="23">
        <v>2019</v>
      </c>
      <c r="T13" s="23" t="s">
        <v>160</v>
      </c>
      <c r="U13" s="23" t="s">
        <v>7653</v>
      </c>
      <c r="V13" s="23" t="s">
        <v>161</v>
      </c>
      <c r="W13" s="23" t="s">
        <v>92</v>
      </c>
      <c r="X13" s="23" t="s">
        <v>161</v>
      </c>
      <c r="Y13" s="23" t="s">
        <v>162</v>
      </c>
      <c r="Z13" s="23">
        <v>31379623</v>
      </c>
      <c r="AA13" s="23" t="s">
        <v>163</v>
      </c>
      <c r="AB13" s="35" t="s">
        <v>164</v>
      </c>
      <c r="AC13" s="23" t="str">
        <f>HYPERLINK("https%3A%2F%2Fwww.webofscience.com%2Fwos%2Fwoscc%2Ffull-record%2FWOS:000476866200001","View Full Record in Web of Science")</f>
        <v>View Full Record in Web of Science</v>
      </c>
    </row>
    <row r="14" spans="1:29" ht="40.200000000000003" customHeight="1" x14ac:dyDescent="0.3">
      <c r="A14" s="26">
        <v>12</v>
      </c>
      <c r="B14" s="31" t="s">
        <v>1544</v>
      </c>
      <c r="C14" s="31" t="s">
        <v>1545</v>
      </c>
      <c r="D14" s="32" t="s">
        <v>894</v>
      </c>
      <c r="E14" s="31" t="s">
        <v>25</v>
      </c>
      <c r="F14" s="31" t="s">
        <v>26</v>
      </c>
      <c r="G14" s="31" t="s">
        <v>1546</v>
      </c>
      <c r="H14" s="31" t="s">
        <v>1547</v>
      </c>
      <c r="I14" s="31" t="s">
        <v>1550</v>
      </c>
      <c r="J14" s="31">
        <v>28</v>
      </c>
      <c r="K14" s="31">
        <v>47</v>
      </c>
      <c r="L14" s="31">
        <v>49</v>
      </c>
      <c r="M14" s="31">
        <v>54</v>
      </c>
      <c r="N14" s="31" t="s">
        <v>904</v>
      </c>
      <c r="O14" s="31" t="s">
        <v>906</v>
      </c>
      <c r="P14" s="31" t="s">
        <v>907</v>
      </c>
      <c r="Q14" s="31" t="s">
        <v>908</v>
      </c>
      <c r="R14" s="31" t="s">
        <v>909</v>
      </c>
      <c r="S14" s="31">
        <v>2022</v>
      </c>
      <c r="T14" s="31" t="s">
        <v>1558</v>
      </c>
      <c r="U14" s="31" t="s">
        <v>7654</v>
      </c>
      <c r="V14" s="31" t="s">
        <v>503</v>
      </c>
      <c r="W14" s="31" t="s">
        <v>45</v>
      </c>
      <c r="X14" s="31" t="s">
        <v>503</v>
      </c>
      <c r="Y14" s="31" t="s">
        <v>1560</v>
      </c>
      <c r="Z14" s="31" t="s">
        <v>21</v>
      </c>
      <c r="AA14" s="31" t="s">
        <v>21</v>
      </c>
      <c r="AB14" s="34" t="s">
        <v>1561</v>
      </c>
      <c r="AC14" s="31" t="str">
        <f>HYPERLINK("https%3A%2F%2Fwww.webofscience.com%2Fwos%2Fwoscc%2Ffull-record%2FWOS:000604151700001","View Full Record in Web of Science")</f>
        <v>View Full Record in Web of Science</v>
      </c>
    </row>
    <row r="15" spans="1:29" ht="40.200000000000003" customHeight="1" x14ac:dyDescent="0.3">
      <c r="A15" s="25">
        <v>13</v>
      </c>
      <c r="B15" s="31" t="s">
        <v>3723</v>
      </c>
      <c r="C15" s="31" t="s">
        <v>3724</v>
      </c>
      <c r="D15" s="32" t="s">
        <v>1443</v>
      </c>
      <c r="E15" s="31" t="s">
        <v>25</v>
      </c>
      <c r="F15" s="31" t="s">
        <v>26</v>
      </c>
      <c r="G15" s="31" t="s">
        <v>3725</v>
      </c>
      <c r="H15" s="31" t="s">
        <v>3726</v>
      </c>
      <c r="I15" s="31" t="s">
        <v>3729</v>
      </c>
      <c r="J15" s="31">
        <v>28</v>
      </c>
      <c r="K15" s="31">
        <v>12</v>
      </c>
      <c r="L15" s="31">
        <v>13</v>
      </c>
      <c r="M15" s="31">
        <v>107</v>
      </c>
      <c r="N15" s="31" t="s">
        <v>493</v>
      </c>
      <c r="O15" s="31" t="s">
        <v>1453</v>
      </c>
      <c r="P15" s="31" t="s">
        <v>1454</v>
      </c>
      <c r="Q15" s="31" t="s">
        <v>1455</v>
      </c>
      <c r="R15" s="31" t="s">
        <v>1456</v>
      </c>
      <c r="S15" s="31">
        <v>2024</v>
      </c>
      <c r="T15" s="31" t="s">
        <v>3737</v>
      </c>
      <c r="U15" s="31" t="s">
        <v>7655</v>
      </c>
      <c r="V15" s="31" t="s">
        <v>503</v>
      </c>
      <c r="W15" s="31" t="s">
        <v>45</v>
      </c>
      <c r="X15" s="31" t="s">
        <v>503</v>
      </c>
      <c r="Y15" s="31" t="s">
        <v>3739</v>
      </c>
      <c r="Z15" s="31" t="s">
        <v>21</v>
      </c>
      <c r="AA15" s="31" t="s">
        <v>137</v>
      </c>
      <c r="AB15" s="34" t="s">
        <v>3740</v>
      </c>
      <c r="AC15" s="31" t="str">
        <f>HYPERLINK("https%3A%2F%2Fwww.webofscience.com%2Fwos%2Fwoscc%2Ffull-record%2FWOS:000838013700001","View Full Record in Web of Science")</f>
        <v>View Full Record in Web of Science</v>
      </c>
    </row>
    <row r="16" spans="1:29" ht="40.200000000000003" customHeight="1" x14ac:dyDescent="0.3">
      <c r="A16" s="26">
        <v>14</v>
      </c>
      <c r="B16" s="31" t="s">
        <v>5044</v>
      </c>
      <c r="C16" s="31" t="s">
        <v>5045</v>
      </c>
      <c r="D16" s="32" t="s">
        <v>5046</v>
      </c>
      <c r="E16" s="31" t="s">
        <v>25</v>
      </c>
      <c r="F16" s="31" t="s">
        <v>76</v>
      </c>
      <c r="G16" s="31" t="s">
        <v>5047</v>
      </c>
      <c r="H16" s="31" t="s">
        <v>5048</v>
      </c>
      <c r="I16" s="31" t="s">
        <v>5051</v>
      </c>
      <c r="J16" s="31">
        <v>28</v>
      </c>
      <c r="K16" s="31">
        <v>4</v>
      </c>
      <c r="L16" s="31">
        <v>6</v>
      </c>
      <c r="M16" s="31">
        <v>54</v>
      </c>
      <c r="N16" s="31" t="s">
        <v>904</v>
      </c>
      <c r="O16" s="31" t="s">
        <v>5059</v>
      </c>
      <c r="P16" s="31" t="s">
        <v>5060</v>
      </c>
      <c r="Q16" s="31" t="s">
        <v>5061</v>
      </c>
      <c r="R16" s="31" t="s">
        <v>5062</v>
      </c>
      <c r="S16" s="31">
        <v>2024</v>
      </c>
      <c r="T16" s="31" t="s">
        <v>5063</v>
      </c>
      <c r="U16" s="31" t="s">
        <v>7656</v>
      </c>
      <c r="V16" s="31" t="s">
        <v>1166</v>
      </c>
      <c r="W16" s="31" t="s">
        <v>524</v>
      </c>
      <c r="X16" s="31" t="s">
        <v>1167</v>
      </c>
      <c r="Y16" s="31" t="s">
        <v>5064</v>
      </c>
      <c r="Z16" s="31">
        <v>38498091</v>
      </c>
      <c r="AA16" s="31" t="s">
        <v>21</v>
      </c>
      <c r="AB16" s="34" t="s">
        <v>5065</v>
      </c>
      <c r="AC16" s="31" t="str">
        <f>HYPERLINK("https%3A%2F%2Fwww.webofscience.com%2Fwos%2Fwoscc%2Ffull-record%2FWOS:001186995900002","View Full Record in Web of Science")</f>
        <v>View Full Record in Web of Science</v>
      </c>
    </row>
    <row r="17" spans="1:29" ht="40.200000000000003" customHeight="1" x14ac:dyDescent="0.3">
      <c r="A17" s="25">
        <v>15</v>
      </c>
      <c r="B17" s="31" t="s">
        <v>5709</v>
      </c>
      <c r="C17" s="31" t="s">
        <v>5710</v>
      </c>
      <c r="D17" s="32" t="s">
        <v>894</v>
      </c>
      <c r="E17" s="31" t="s">
        <v>25</v>
      </c>
      <c r="F17" s="31" t="s">
        <v>26</v>
      </c>
      <c r="G17" s="31" t="s">
        <v>5711</v>
      </c>
      <c r="H17" s="31" t="s">
        <v>5712</v>
      </c>
      <c r="I17" s="31" t="s">
        <v>5715</v>
      </c>
      <c r="J17" s="31">
        <v>28</v>
      </c>
      <c r="K17" s="31">
        <v>2</v>
      </c>
      <c r="L17" s="31">
        <v>2</v>
      </c>
      <c r="M17" s="31">
        <v>34</v>
      </c>
      <c r="N17" s="31" t="s">
        <v>904</v>
      </c>
      <c r="O17" s="31" t="s">
        <v>906</v>
      </c>
      <c r="P17" s="31" t="s">
        <v>907</v>
      </c>
      <c r="Q17" s="31" t="s">
        <v>908</v>
      </c>
      <c r="R17" s="31" t="s">
        <v>909</v>
      </c>
      <c r="S17" s="31">
        <v>2025</v>
      </c>
      <c r="T17" s="31" t="s">
        <v>5718</v>
      </c>
      <c r="U17" s="31" t="s">
        <v>7657</v>
      </c>
      <c r="V17" s="31" t="s">
        <v>503</v>
      </c>
      <c r="W17" s="31" t="s">
        <v>45</v>
      </c>
      <c r="X17" s="31" t="s">
        <v>503</v>
      </c>
      <c r="Y17" s="31" t="s">
        <v>5719</v>
      </c>
      <c r="Z17" s="31" t="s">
        <v>21</v>
      </c>
      <c r="AA17" s="31" t="s">
        <v>21</v>
      </c>
      <c r="AB17" s="34" t="s">
        <v>5720</v>
      </c>
      <c r="AC17" s="31" t="str">
        <f>HYPERLINK("https%3A%2F%2Fwww.webofscience.com%2Fwos%2Fwoscc%2Ffull-record%2FWOS:001287482600001","View Full Record in Web of Science")</f>
        <v>View Full Record in Web of Science</v>
      </c>
    </row>
    <row r="18" spans="1:29" ht="40.200000000000003" customHeight="1" x14ac:dyDescent="0.3">
      <c r="A18" s="26">
        <v>16</v>
      </c>
      <c r="B18" s="23" t="s">
        <v>98</v>
      </c>
      <c r="C18" s="23" t="s">
        <v>99</v>
      </c>
      <c r="D18" s="29" t="s">
        <v>100</v>
      </c>
      <c r="E18" s="23" t="s">
        <v>25</v>
      </c>
      <c r="F18" s="23" t="s">
        <v>26</v>
      </c>
      <c r="G18" s="23" t="s">
        <v>101</v>
      </c>
      <c r="H18" s="23" t="s">
        <v>102</v>
      </c>
      <c r="I18" s="23" t="s">
        <v>31</v>
      </c>
      <c r="J18" s="23">
        <v>27</v>
      </c>
      <c r="K18" s="23">
        <v>252</v>
      </c>
      <c r="L18" s="23">
        <v>264</v>
      </c>
      <c r="M18" s="23">
        <v>216</v>
      </c>
      <c r="N18" s="23" t="s">
        <v>110</v>
      </c>
      <c r="O18" s="23" t="s">
        <v>112</v>
      </c>
      <c r="P18" s="23" t="s">
        <v>113</v>
      </c>
      <c r="Q18" s="23" t="s">
        <v>114</v>
      </c>
      <c r="R18" s="23" t="s">
        <v>115</v>
      </c>
      <c r="S18" s="23">
        <v>2016</v>
      </c>
      <c r="T18" s="23" t="s">
        <v>117</v>
      </c>
      <c r="U18" s="23" t="s">
        <v>7658</v>
      </c>
      <c r="V18" s="23" t="s">
        <v>118</v>
      </c>
      <c r="W18" s="23" t="s">
        <v>45</v>
      </c>
      <c r="X18" s="23" t="s">
        <v>46</v>
      </c>
      <c r="Y18" s="23" t="s">
        <v>119</v>
      </c>
      <c r="Z18" s="23" t="s">
        <v>21</v>
      </c>
      <c r="AA18" s="23" t="s">
        <v>120</v>
      </c>
      <c r="AB18" s="35" t="s">
        <v>121</v>
      </c>
      <c r="AC18" s="23" t="str">
        <f>HYPERLINK("https%3A%2F%2Fwww.webofscience.com%2Fwos%2Fwoscc%2Ffull-record%2FWOS:000378952300071","View Full Record in Web of Science")</f>
        <v>View Full Record in Web of Science</v>
      </c>
    </row>
    <row r="19" spans="1:29" ht="40.200000000000003" customHeight="1" x14ac:dyDescent="0.3">
      <c r="A19" s="25">
        <v>17</v>
      </c>
      <c r="B19" s="23" t="s">
        <v>274</v>
      </c>
      <c r="C19" s="23" t="s">
        <v>275</v>
      </c>
      <c r="D19" s="29" t="s">
        <v>276</v>
      </c>
      <c r="E19" s="23" t="s">
        <v>25</v>
      </c>
      <c r="F19" s="23" t="s">
        <v>26</v>
      </c>
      <c r="G19" s="23" t="s">
        <v>277</v>
      </c>
      <c r="H19" s="23" t="s">
        <v>278</v>
      </c>
      <c r="I19" s="23" t="s">
        <v>281</v>
      </c>
      <c r="J19" s="23">
        <v>27</v>
      </c>
      <c r="K19" s="23">
        <v>155</v>
      </c>
      <c r="L19" s="23">
        <v>169</v>
      </c>
      <c r="M19" s="23">
        <v>213</v>
      </c>
      <c r="N19" s="23" t="s">
        <v>110</v>
      </c>
      <c r="O19" s="23" t="s">
        <v>286</v>
      </c>
      <c r="P19" s="23" t="s">
        <v>287</v>
      </c>
      <c r="Q19" s="23" t="s">
        <v>288</v>
      </c>
      <c r="R19" s="23" t="s">
        <v>289</v>
      </c>
      <c r="S19" s="23">
        <v>2016</v>
      </c>
      <c r="T19" s="23" t="s">
        <v>291</v>
      </c>
      <c r="U19" s="23" t="s">
        <v>7659</v>
      </c>
      <c r="V19" s="23" t="s">
        <v>292</v>
      </c>
      <c r="W19" s="23" t="s">
        <v>92</v>
      </c>
      <c r="X19" s="23" t="s">
        <v>293</v>
      </c>
      <c r="Y19" s="23" t="s">
        <v>294</v>
      </c>
      <c r="Z19" s="23" t="s">
        <v>21</v>
      </c>
      <c r="AA19" s="23" t="s">
        <v>137</v>
      </c>
      <c r="AB19" s="35" t="s">
        <v>295</v>
      </c>
      <c r="AC19" s="23" t="str">
        <f>HYPERLINK("https%3A%2F%2Fwww.webofscience.com%2Fwos%2Fwoscc%2Ffull-record%2FWOS:000376212900015","View Full Record in Web of Science")</f>
        <v>View Full Record in Web of Science</v>
      </c>
    </row>
    <row r="20" spans="1:29" ht="40.200000000000003" customHeight="1" x14ac:dyDescent="0.3">
      <c r="A20" s="26">
        <v>18</v>
      </c>
      <c r="B20" s="23" t="s">
        <v>892</v>
      </c>
      <c r="C20" s="23" t="s">
        <v>893</v>
      </c>
      <c r="D20" s="29" t="s">
        <v>894</v>
      </c>
      <c r="E20" s="23" t="s">
        <v>25</v>
      </c>
      <c r="F20" s="23" t="s">
        <v>26</v>
      </c>
      <c r="G20" s="23" t="s">
        <v>895</v>
      </c>
      <c r="H20" s="23" t="s">
        <v>896</v>
      </c>
      <c r="I20" s="23" t="s">
        <v>899</v>
      </c>
      <c r="J20" s="23">
        <v>27</v>
      </c>
      <c r="K20" s="23">
        <v>73</v>
      </c>
      <c r="L20" s="23">
        <v>79</v>
      </c>
      <c r="M20" s="23">
        <v>146</v>
      </c>
      <c r="N20" s="23" t="s">
        <v>904</v>
      </c>
      <c r="O20" s="23" t="s">
        <v>906</v>
      </c>
      <c r="P20" s="23" t="s">
        <v>907</v>
      </c>
      <c r="Q20" s="23" t="s">
        <v>908</v>
      </c>
      <c r="R20" s="23" t="s">
        <v>909</v>
      </c>
      <c r="S20" s="23">
        <v>2020</v>
      </c>
      <c r="T20" s="23" t="s">
        <v>910</v>
      </c>
      <c r="U20" s="23" t="s">
        <v>7660</v>
      </c>
      <c r="V20" s="23" t="s">
        <v>503</v>
      </c>
      <c r="W20" s="23" t="s">
        <v>45</v>
      </c>
      <c r="X20" s="23" t="s">
        <v>503</v>
      </c>
      <c r="Y20" s="23" t="s">
        <v>911</v>
      </c>
      <c r="Z20" s="23" t="s">
        <v>21</v>
      </c>
      <c r="AA20" s="23" t="s">
        <v>21</v>
      </c>
      <c r="AB20" s="35" t="s">
        <v>912</v>
      </c>
      <c r="AC20" s="23" t="str">
        <f>HYPERLINK("https%3A%2F%2Fwww.webofscience.com%2Fwos%2Fwoscc%2Ffull-record%2FWOS:000532783100013","View Full Record in Web of Science")</f>
        <v>View Full Record in Web of Science</v>
      </c>
    </row>
    <row r="21" spans="1:29" ht="40.200000000000003" customHeight="1" x14ac:dyDescent="0.3">
      <c r="A21" s="25">
        <v>19</v>
      </c>
      <c r="B21" s="31" t="s">
        <v>1401</v>
      </c>
      <c r="C21" s="31" t="s">
        <v>1402</v>
      </c>
      <c r="D21" s="32" t="s">
        <v>1403</v>
      </c>
      <c r="E21" s="31" t="s">
        <v>25</v>
      </c>
      <c r="F21" s="31" t="s">
        <v>26</v>
      </c>
      <c r="G21" s="31" t="s">
        <v>1404</v>
      </c>
      <c r="H21" s="31" t="s">
        <v>1405</v>
      </c>
      <c r="I21" s="31" t="s">
        <v>1408</v>
      </c>
      <c r="J21" s="31">
        <v>26</v>
      </c>
      <c r="K21" s="31">
        <v>51</v>
      </c>
      <c r="L21" s="31">
        <v>55</v>
      </c>
      <c r="M21" s="31">
        <v>111</v>
      </c>
      <c r="N21" s="31" t="s">
        <v>193</v>
      </c>
      <c r="O21" s="31" t="s">
        <v>21</v>
      </c>
      <c r="P21" s="31" t="s">
        <v>1414</v>
      </c>
      <c r="Q21" s="31" t="s">
        <v>1403</v>
      </c>
      <c r="R21" s="31" t="s">
        <v>1415</v>
      </c>
      <c r="S21" s="31">
        <v>2022</v>
      </c>
      <c r="T21" s="31" t="s">
        <v>1416</v>
      </c>
      <c r="U21" s="31" t="s">
        <v>7661</v>
      </c>
      <c r="V21" s="31" t="s">
        <v>1417</v>
      </c>
      <c r="W21" s="31" t="s">
        <v>92</v>
      </c>
      <c r="X21" s="31" t="s">
        <v>1417</v>
      </c>
      <c r="Y21" s="31" t="s">
        <v>1418</v>
      </c>
      <c r="Z21" s="31">
        <v>35204903</v>
      </c>
      <c r="AA21" s="31" t="s">
        <v>864</v>
      </c>
      <c r="AB21" s="34" t="s">
        <v>1419</v>
      </c>
      <c r="AC21" s="31" t="str">
        <f>HYPERLINK("https%3A%2F%2Fwww.webofscience.com%2Fwos%2Fwoscc%2Ffull-record%2FWOS:000763436300001","View Full Record in Web of Science")</f>
        <v>View Full Record in Web of Science</v>
      </c>
    </row>
    <row r="22" spans="1:29" ht="40.200000000000003" customHeight="1" x14ac:dyDescent="0.3">
      <c r="A22" s="26">
        <v>20</v>
      </c>
      <c r="B22" s="31" t="s">
        <v>4405</v>
      </c>
      <c r="C22" s="31" t="s">
        <v>4406</v>
      </c>
      <c r="D22" s="32" t="s">
        <v>4407</v>
      </c>
      <c r="E22" s="31" t="s">
        <v>25</v>
      </c>
      <c r="F22" s="31" t="s">
        <v>26</v>
      </c>
      <c r="G22" s="31" t="s">
        <v>4408</v>
      </c>
      <c r="H22" s="31" t="s">
        <v>4409</v>
      </c>
      <c r="I22" s="31" t="s">
        <v>4412</v>
      </c>
      <c r="J22" s="31">
        <v>26</v>
      </c>
      <c r="K22" s="31">
        <v>7</v>
      </c>
      <c r="L22" s="31">
        <v>8</v>
      </c>
      <c r="M22" s="31">
        <v>76</v>
      </c>
      <c r="N22" s="31" t="s">
        <v>1319</v>
      </c>
      <c r="O22" s="31" t="s">
        <v>4421</v>
      </c>
      <c r="P22" s="31" t="s">
        <v>21</v>
      </c>
      <c r="Q22" s="31" t="s">
        <v>4422</v>
      </c>
      <c r="R22" s="31" t="s">
        <v>4423</v>
      </c>
      <c r="S22" s="31">
        <v>2023</v>
      </c>
      <c r="T22" s="31" t="s">
        <v>4426</v>
      </c>
      <c r="U22" s="31" t="s">
        <v>7662</v>
      </c>
      <c r="V22" s="31" t="s">
        <v>4427</v>
      </c>
      <c r="W22" s="31" t="s">
        <v>524</v>
      </c>
      <c r="X22" s="31" t="s">
        <v>4427</v>
      </c>
      <c r="Y22" s="31" t="s">
        <v>4428</v>
      </c>
      <c r="Z22" s="31">
        <v>37616029</v>
      </c>
      <c r="AA22" s="31" t="s">
        <v>163</v>
      </c>
      <c r="AB22" s="34" t="s">
        <v>4429</v>
      </c>
      <c r="AC22" s="31" t="str">
        <f>HYPERLINK("https%3A%2F%2Fwww.webofscience.com%2Fwos%2Fwoscc%2Ffull-record%2FWOS:001064943000005","View Full Record in Web of Science")</f>
        <v>View Full Record in Web of Science</v>
      </c>
    </row>
    <row r="23" spans="1:29" ht="40.200000000000003" customHeight="1" x14ac:dyDescent="0.3">
      <c r="A23" s="25">
        <v>21</v>
      </c>
      <c r="B23" s="31" t="s">
        <v>4136</v>
      </c>
      <c r="C23" s="31" t="s">
        <v>4137</v>
      </c>
      <c r="D23" s="32" t="s">
        <v>3508</v>
      </c>
      <c r="E23" s="31" t="s">
        <v>25</v>
      </c>
      <c r="F23" s="31" t="s">
        <v>76</v>
      </c>
      <c r="G23" s="31" t="s">
        <v>4138</v>
      </c>
      <c r="H23" s="31" t="s">
        <v>4139</v>
      </c>
      <c r="I23" s="31" t="s">
        <v>4142</v>
      </c>
      <c r="J23" s="31">
        <v>24</v>
      </c>
      <c r="K23" s="31">
        <v>9</v>
      </c>
      <c r="L23" s="31">
        <v>11</v>
      </c>
      <c r="M23" s="31">
        <v>61</v>
      </c>
      <c r="N23" s="31" t="s">
        <v>193</v>
      </c>
      <c r="O23" s="31" t="s">
        <v>21</v>
      </c>
      <c r="P23" s="31" t="s">
        <v>3520</v>
      </c>
      <c r="Q23" s="31" t="s">
        <v>3521</v>
      </c>
      <c r="R23" s="31" t="s">
        <v>3522</v>
      </c>
      <c r="S23" s="31">
        <v>2023</v>
      </c>
      <c r="T23" s="31" t="s">
        <v>4147</v>
      </c>
      <c r="U23" s="31" t="s">
        <v>7663</v>
      </c>
      <c r="V23" s="31" t="s">
        <v>3524</v>
      </c>
      <c r="W23" s="31" t="s">
        <v>524</v>
      </c>
      <c r="X23" s="31" t="s">
        <v>3525</v>
      </c>
      <c r="Y23" s="31" t="s">
        <v>4148</v>
      </c>
      <c r="Z23" s="31" t="s">
        <v>21</v>
      </c>
      <c r="AA23" s="31" t="s">
        <v>163</v>
      </c>
      <c r="AB23" s="34" t="s">
        <v>4149</v>
      </c>
      <c r="AC23" s="31" t="str">
        <f>HYPERLINK("https%3A%2F%2Fwww.webofscience.com%2Fwos%2Fwoscc%2Ffull-record%2FWOS:001004725200001","View Full Record in Web of Science")</f>
        <v>View Full Record in Web of Science</v>
      </c>
    </row>
    <row r="24" spans="1:29" ht="40.200000000000003" customHeight="1" x14ac:dyDescent="0.3">
      <c r="A24" s="26">
        <v>22</v>
      </c>
      <c r="B24" s="31" t="s">
        <v>4707</v>
      </c>
      <c r="C24" s="31" t="s">
        <v>4708</v>
      </c>
      <c r="D24" s="32" t="s">
        <v>4709</v>
      </c>
      <c r="E24" s="31" t="s">
        <v>25</v>
      </c>
      <c r="F24" s="31" t="s">
        <v>26</v>
      </c>
      <c r="G24" s="31" t="s">
        <v>4710</v>
      </c>
      <c r="H24" s="31" t="s">
        <v>21</v>
      </c>
      <c r="I24" s="31" t="s">
        <v>21</v>
      </c>
      <c r="J24" s="31">
        <v>24</v>
      </c>
      <c r="K24" s="31">
        <v>6</v>
      </c>
      <c r="L24" s="31">
        <v>6</v>
      </c>
      <c r="M24" s="31">
        <v>104</v>
      </c>
      <c r="N24" s="31" t="s">
        <v>659</v>
      </c>
      <c r="O24" s="31" t="s">
        <v>4713</v>
      </c>
      <c r="P24" s="31" t="s">
        <v>4714</v>
      </c>
      <c r="Q24" s="31" t="s">
        <v>4709</v>
      </c>
      <c r="R24" s="31" t="s">
        <v>4715</v>
      </c>
      <c r="S24" s="31">
        <v>2021</v>
      </c>
      <c r="T24" s="31" t="s">
        <v>4716</v>
      </c>
      <c r="U24" s="31" t="s">
        <v>7664</v>
      </c>
      <c r="V24" s="31" t="s">
        <v>933</v>
      </c>
      <c r="W24" s="31" t="s">
        <v>524</v>
      </c>
      <c r="X24" s="31" t="s">
        <v>934</v>
      </c>
      <c r="Y24" s="31" t="s">
        <v>4717</v>
      </c>
      <c r="Z24" s="31">
        <v>34714733</v>
      </c>
      <c r="AA24" s="31" t="s">
        <v>95</v>
      </c>
      <c r="AB24" s="34" t="s">
        <v>4718</v>
      </c>
      <c r="AC24" s="31" t="str">
        <f>HYPERLINK("https%3A%2F%2Fwww.webofscience.com%2Fwos%2Fwoscc%2Ffull-record%2FWOS:000712561100006","View Full Record in Web of Science")</f>
        <v>View Full Record in Web of Science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S1</vt:lpstr>
      <vt:lpstr>Table S2</vt:lpstr>
      <vt:lpstr> Table S3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 9tcg</dc:creator>
  <cp:lastModifiedBy>Editor - Sam</cp:lastModifiedBy>
  <dcterms:created xsi:type="dcterms:W3CDTF">2026-02-04T05:52:09Z</dcterms:created>
  <dcterms:modified xsi:type="dcterms:W3CDTF">2026-02-19T08:27:37Z</dcterms:modified>
</cp:coreProperties>
</file>