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tajhi\Downloads\"/>
    </mc:Choice>
  </mc:AlternateContent>
  <xr:revisionPtr revIDLastSave="0" documentId="13_ncr:1_{B4398D3A-6F63-4A02-B07A-7C84C511F90F}" xr6:coauthVersionLast="47" xr6:coauthVersionMax="47" xr10:uidLastSave="{00000000-0000-0000-0000-000000000000}"/>
  <bookViews>
    <workbookView xWindow="-108" yWindow="-108" windowWidth="41496" windowHeight="16776" activeTab="8" xr2:uid="{00000000-000D-0000-FFFF-FFFF00000000}"/>
  </bookViews>
  <sheets>
    <sheet name="DNA" sheetId="1" r:id="rId1"/>
    <sheet name="SDS Residue" sheetId="6" r:id="rId2"/>
    <sheet name="GAG" sheetId="2" r:id="rId3"/>
    <sheet name="FTIR" sheetId="7" r:id="rId4"/>
    <sheet name="Raman" sheetId="8" r:id="rId5"/>
    <sheet name="Rheology" sheetId="4" r:id="rId6"/>
    <sheet name="Printability" sheetId="5" r:id="rId7"/>
    <sheet name="Degradation" sheetId="13" r:id="rId8"/>
    <sheet name="Swelling" sheetId="14" r:id="rId9"/>
    <sheet name="Mechanical Properties (Compress" sheetId="15" r:id="rId10"/>
    <sheet name="MTT" sheetId="9" r:id="rId11"/>
    <sheet name="Mechanical properties (Tensile)" sheetId="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5" l="1"/>
  <c r="E2" i="15"/>
  <c r="B2" i="15"/>
  <c r="N85" i="14" l="1"/>
  <c r="L85" i="14"/>
  <c r="F85" i="14"/>
  <c r="D85" i="14"/>
  <c r="D84" i="14"/>
  <c r="C84" i="14"/>
  <c r="O82" i="14"/>
  <c r="N82" i="14"/>
  <c r="M82" i="14"/>
  <c r="L82" i="14"/>
  <c r="K82" i="14"/>
  <c r="G82" i="14"/>
  <c r="F82" i="14"/>
  <c r="E82" i="14"/>
  <c r="D82" i="14"/>
  <c r="C82" i="14"/>
  <c r="O79" i="14"/>
  <c r="N79" i="14"/>
  <c r="M79" i="14"/>
  <c r="L79" i="14"/>
  <c r="K79" i="14"/>
  <c r="G79" i="14"/>
  <c r="F79" i="14"/>
  <c r="E79" i="14"/>
  <c r="D79" i="14"/>
  <c r="C79" i="14"/>
  <c r="O76" i="14"/>
  <c r="N76" i="14"/>
  <c r="N83" i="14" s="1"/>
  <c r="M76" i="14"/>
  <c r="L76" i="14"/>
  <c r="K76" i="14"/>
  <c r="G76" i="14"/>
  <c r="F76" i="14"/>
  <c r="E76" i="14"/>
  <c r="D76" i="14"/>
  <c r="C76" i="14"/>
  <c r="O73" i="14"/>
  <c r="O84" i="14" s="1"/>
  <c r="N73" i="14"/>
  <c r="N84" i="14" s="1"/>
  <c r="M73" i="14"/>
  <c r="M83" i="14" s="1"/>
  <c r="L73" i="14"/>
  <c r="L83" i="14" s="1"/>
  <c r="K73" i="14"/>
  <c r="K83" i="14" s="1"/>
  <c r="G73" i="14"/>
  <c r="G84" i="14" s="1"/>
  <c r="F73" i="14"/>
  <c r="F83" i="14" s="1"/>
  <c r="E73" i="14"/>
  <c r="E84" i="14" s="1"/>
  <c r="D73" i="14"/>
  <c r="D83" i="14" s="1"/>
  <c r="C73" i="14"/>
  <c r="C83" i="14" s="1"/>
  <c r="O70" i="14"/>
  <c r="N70" i="14"/>
  <c r="K70" i="14"/>
  <c r="G70" i="14"/>
  <c r="F70" i="14"/>
  <c r="C70" i="14"/>
  <c r="N64" i="14"/>
  <c r="L64" i="14"/>
  <c r="F64" i="14"/>
  <c r="D64" i="14"/>
  <c r="M63" i="14"/>
  <c r="L63" i="14"/>
  <c r="F62" i="14"/>
  <c r="E62" i="14"/>
  <c r="D62" i="14"/>
  <c r="C62" i="14"/>
  <c r="O61" i="14"/>
  <c r="N61" i="14"/>
  <c r="M61" i="14"/>
  <c r="L61" i="14"/>
  <c r="K61" i="14"/>
  <c r="G61" i="14"/>
  <c r="F61" i="14"/>
  <c r="E61" i="14"/>
  <c r="D61" i="14"/>
  <c r="C61" i="14"/>
  <c r="O58" i="14"/>
  <c r="N58" i="14"/>
  <c r="M58" i="14"/>
  <c r="L58" i="14"/>
  <c r="K58" i="14"/>
  <c r="K62" i="14" s="1"/>
  <c r="G58" i="14"/>
  <c r="G62" i="14" s="1"/>
  <c r="F58" i="14"/>
  <c r="E58" i="14"/>
  <c r="D58" i="14"/>
  <c r="C58" i="14"/>
  <c r="O55" i="14"/>
  <c r="N55" i="14"/>
  <c r="M55" i="14"/>
  <c r="L55" i="14"/>
  <c r="K55" i="14"/>
  <c r="G55" i="14"/>
  <c r="F55" i="14"/>
  <c r="E55" i="14"/>
  <c r="E63" i="14" s="1"/>
  <c r="D55" i="14"/>
  <c r="D63" i="14" s="1"/>
  <c r="C55" i="14"/>
  <c r="O52" i="14"/>
  <c r="O62" i="14" s="1"/>
  <c r="N52" i="14"/>
  <c r="N62" i="14" s="1"/>
  <c r="M52" i="14"/>
  <c r="M62" i="14" s="1"/>
  <c r="L52" i="14"/>
  <c r="L62" i="14" s="1"/>
  <c r="K52" i="14"/>
  <c r="G52" i="14"/>
  <c r="F52" i="14"/>
  <c r="F63" i="14" s="1"/>
  <c r="E52" i="14"/>
  <c r="D52" i="14"/>
  <c r="C52" i="14"/>
  <c r="C63" i="14" s="1"/>
  <c r="O49" i="14"/>
  <c r="N49" i="14"/>
  <c r="K49" i="14"/>
  <c r="G49" i="14"/>
  <c r="F49" i="14"/>
  <c r="C49" i="14"/>
  <c r="N43" i="14"/>
  <c r="L43" i="14"/>
  <c r="F43" i="14"/>
  <c r="D43" i="14"/>
  <c r="O41" i="14"/>
  <c r="N41" i="14"/>
  <c r="M41" i="14"/>
  <c r="L41" i="14"/>
  <c r="O40" i="14"/>
  <c r="N40" i="14"/>
  <c r="M40" i="14"/>
  <c r="L40" i="14"/>
  <c r="K40" i="14"/>
  <c r="G40" i="14"/>
  <c r="F40" i="14"/>
  <c r="E40" i="14"/>
  <c r="D40" i="14"/>
  <c r="C40" i="14"/>
  <c r="O37" i="14"/>
  <c r="N37" i="14"/>
  <c r="M37" i="14"/>
  <c r="L37" i="14"/>
  <c r="K37" i="14"/>
  <c r="G37" i="14"/>
  <c r="F37" i="14"/>
  <c r="E37" i="14"/>
  <c r="D37" i="14"/>
  <c r="C37" i="14"/>
  <c r="O34" i="14"/>
  <c r="N34" i="14"/>
  <c r="N42" i="14" s="1"/>
  <c r="M34" i="14"/>
  <c r="M42" i="14" s="1"/>
  <c r="L34" i="14"/>
  <c r="K34" i="14"/>
  <c r="K41" i="14" s="1"/>
  <c r="G34" i="14"/>
  <c r="G41" i="14" s="1"/>
  <c r="F34" i="14"/>
  <c r="E34" i="14"/>
  <c r="D34" i="14"/>
  <c r="C34" i="14"/>
  <c r="O31" i="14"/>
  <c r="O42" i="14" s="1"/>
  <c r="N31" i="14"/>
  <c r="M31" i="14"/>
  <c r="L31" i="14"/>
  <c r="L42" i="14" s="1"/>
  <c r="K31" i="14"/>
  <c r="K42" i="14" s="1"/>
  <c r="G31" i="14"/>
  <c r="G42" i="14" s="1"/>
  <c r="F31" i="14"/>
  <c r="F41" i="14" s="1"/>
  <c r="E31" i="14"/>
  <c r="E41" i="14" s="1"/>
  <c r="D31" i="14"/>
  <c r="D41" i="14" s="1"/>
  <c r="C31" i="14"/>
  <c r="C41" i="14" s="1"/>
  <c r="O28" i="14"/>
  <c r="N28" i="14"/>
  <c r="K28" i="14"/>
  <c r="G28" i="14"/>
  <c r="F28" i="14"/>
  <c r="C28" i="14"/>
  <c r="N22" i="14"/>
  <c r="L22" i="14"/>
  <c r="F22" i="14"/>
  <c r="D22" i="14"/>
  <c r="F21" i="14"/>
  <c r="E21" i="14"/>
  <c r="O19" i="14"/>
  <c r="N19" i="14"/>
  <c r="M19" i="14"/>
  <c r="L19" i="14"/>
  <c r="K19" i="14"/>
  <c r="G19" i="14"/>
  <c r="F19" i="14"/>
  <c r="E19" i="14"/>
  <c r="D19" i="14"/>
  <c r="C19" i="14"/>
  <c r="O16" i="14"/>
  <c r="N16" i="14"/>
  <c r="M16" i="14"/>
  <c r="L16" i="14"/>
  <c r="K16" i="14"/>
  <c r="G16" i="14"/>
  <c r="F16" i="14"/>
  <c r="E16" i="14"/>
  <c r="D16" i="14"/>
  <c r="D20" i="14" s="1"/>
  <c r="C16" i="14"/>
  <c r="C20" i="14" s="1"/>
  <c r="O13" i="14"/>
  <c r="N13" i="14"/>
  <c r="M13" i="14"/>
  <c r="L13" i="14"/>
  <c r="K13" i="14"/>
  <c r="G13" i="14"/>
  <c r="F13" i="14"/>
  <c r="E13" i="14"/>
  <c r="D13" i="14"/>
  <c r="C13" i="14"/>
  <c r="O10" i="14"/>
  <c r="O20" i="14" s="1"/>
  <c r="N10" i="14"/>
  <c r="N20" i="14" s="1"/>
  <c r="M10" i="14"/>
  <c r="M20" i="14" s="1"/>
  <c r="L10" i="14"/>
  <c r="L20" i="14" s="1"/>
  <c r="K10" i="14"/>
  <c r="K21" i="14" s="1"/>
  <c r="G10" i="14"/>
  <c r="G21" i="14" s="1"/>
  <c r="F10" i="14"/>
  <c r="F20" i="14" s="1"/>
  <c r="E10" i="14"/>
  <c r="E20" i="14" s="1"/>
  <c r="D10" i="14"/>
  <c r="C10" i="14"/>
  <c r="O7" i="14"/>
  <c r="N7" i="14"/>
  <c r="K7" i="14"/>
  <c r="G7" i="14"/>
  <c r="F7" i="14"/>
  <c r="C7" i="14"/>
  <c r="T31" i="9"/>
  <c r="S31" i="9"/>
  <c r="T28" i="9"/>
  <c r="S28" i="9"/>
  <c r="T25" i="9"/>
  <c r="S25" i="9"/>
  <c r="T21" i="9"/>
  <c r="S21" i="9"/>
  <c r="T18" i="9"/>
  <c r="S18" i="9"/>
  <c r="T15" i="9"/>
  <c r="S15" i="9"/>
  <c r="T12" i="9"/>
  <c r="S12" i="9"/>
  <c r="T8" i="9"/>
  <c r="S8" i="9"/>
  <c r="T4" i="9"/>
  <c r="S4" i="9"/>
  <c r="N12" i="9"/>
  <c r="N8" i="9"/>
  <c r="C7" i="13"/>
  <c r="F7" i="13"/>
  <c r="G7" i="13"/>
  <c r="K7" i="13"/>
  <c r="N7" i="13"/>
  <c r="O7" i="13"/>
  <c r="C12" i="13"/>
  <c r="D12" i="13"/>
  <c r="E12" i="13"/>
  <c r="F12" i="13"/>
  <c r="F14" i="13" s="1"/>
  <c r="G12" i="13"/>
  <c r="K12" i="13"/>
  <c r="O14" i="13" s="1"/>
  <c r="L12" i="13"/>
  <c r="L14" i="13" s="1"/>
  <c r="M12" i="13"/>
  <c r="M14" i="13" s="1"/>
  <c r="N12" i="13"/>
  <c r="N14" i="13" s="1"/>
  <c r="O12" i="13"/>
  <c r="C13" i="13"/>
  <c r="D15" i="13" s="1"/>
  <c r="D13" i="13"/>
  <c r="E13" i="13"/>
  <c r="F13" i="13"/>
  <c r="F15" i="13" s="1"/>
  <c r="G13" i="13"/>
  <c r="K13" i="13"/>
  <c r="L13" i="13"/>
  <c r="M13" i="13"/>
  <c r="N13" i="13"/>
  <c r="O13" i="13"/>
  <c r="O15" i="13" s="1"/>
  <c r="C14" i="13"/>
  <c r="D14" i="13"/>
  <c r="E14" i="13"/>
  <c r="G14" i="13"/>
  <c r="C15" i="13"/>
  <c r="M15" i="13"/>
  <c r="C21" i="13"/>
  <c r="F21" i="13"/>
  <c r="G21" i="13"/>
  <c r="K21" i="13"/>
  <c r="N21" i="13"/>
  <c r="O21" i="13"/>
  <c r="C26" i="13"/>
  <c r="D26" i="13"/>
  <c r="E26" i="13"/>
  <c r="F26" i="13"/>
  <c r="G26" i="13"/>
  <c r="G28" i="13" s="1"/>
  <c r="K26" i="13"/>
  <c r="K29" i="13" s="1"/>
  <c r="L26" i="13"/>
  <c r="M26" i="13"/>
  <c r="M29" i="13" s="1"/>
  <c r="N26" i="13"/>
  <c r="N28" i="13" s="1"/>
  <c r="O26" i="13"/>
  <c r="O28" i="13" s="1"/>
  <c r="C27" i="13"/>
  <c r="C29" i="13" s="1"/>
  <c r="D27" i="13"/>
  <c r="E27" i="13"/>
  <c r="F27" i="13"/>
  <c r="G27" i="13"/>
  <c r="K27" i="13"/>
  <c r="L27" i="13"/>
  <c r="M27" i="13"/>
  <c r="N27" i="13"/>
  <c r="O27" i="13"/>
  <c r="C28" i="13"/>
  <c r="D28" i="13"/>
  <c r="E28" i="13"/>
  <c r="F28" i="13"/>
  <c r="K28" i="13"/>
  <c r="L28" i="13"/>
  <c r="M28" i="13"/>
  <c r="C35" i="13"/>
  <c r="F35" i="13"/>
  <c r="G35" i="13"/>
  <c r="K35" i="13"/>
  <c r="N35" i="13"/>
  <c r="O35" i="13"/>
  <c r="V35" i="13"/>
  <c r="Y35" i="13"/>
  <c r="Z35" i="13"/>
  <c r="C40" i="13"/>
  <c r="D40" i="13"/>
  <c r="E40" i="13"/>
  <c r="E43" i="13" s="1"/>
  <c r="F40" i="13"/>
  <c r="F42" i="13" s="1"/>
  <c r="G40" i="13"/>
  <c r="G42" i="13" s="1"/>
  <c r="K40" i="13"/>
  <c r="K42" i="13" s="1"/>
  <c r="L40" i="13"/>
  <c r="L42" i="13" s="1"/>
  <c r="M40" i="13"/>
  <c r="M42" i="13" s="1"/>
  <c r="N40" i="13"/>
  <c r="N42" i="13" s="1"/>
  <c r="O40" i="13"/>
  <c r="O42" i="13" s="1"/>
  <c r="V40" i="13"/>
  <c r="V42" i="13" s="1"/>
  <c r="W40" i="13"/>
  <c r="X40" i="13"/>
  <c r="Y40" i="13"/>
  <c r="Y42" i="13" s="1"/>
  <c r="Z40" i="13"/>
  <c r="Z42" i="13" s="1"/>
  <c r="C41" i="13"/>
  <c r="C43" i="13" s="1"/>
  <c r="D41" i="13"/>
  <c r="E41" i="13"/>
  <c r="F41" i="13"/>
  <c r="G41" i="13"/>
  <c r="K41" i="13"/>
  <c r="K43" i="13" s="1"/>
  <c r="L41" i="13"/>
  <c r="M41" i="13"/>
  <c r="M43" i="13" s="1"/>
  <c r="N41" i="13"/>
  <c r="N43" i="13" s="1"/>
  <c r="O41" i="13"/>
  <c r="O43" i="13" s="1"/>
  <c r="V41" i="13"/>
  <c r="Z43" i="13" s="1"/>
  <c r="W41" i="13"/>
  <c r="X41" i="13"/>
  <c r="Y41" i="13"/>
  <c r="Z41" i="13"/>
  <c r="C42" i="13"/>
  <c r="D42" i="13"/>
  <c r="X42" i="13"/>
  <c r="Y43" i="13"/>
  <c r="C49" i="13"/>
  <c r="F49" i="13"/>
  <c r="G49" i="13"/>
  <c r="K49" i="13"/>
  <c r="N49" i="13"/>
  <c r="O49" i="13"/>
  <c r="C54" i="13"/>
  <c r="D54" i="13"/>
  <c r="E54" i="13"/>
  <c r="E57" i="13" s="1"/>
  <c r="F54" i="13"/>
  <c r="F57" i="13" s="1"/>
  <c r="G54" i="13"/>
  <c r="G57" i="13" s="1"/>
  <c r="K54" i="13"/>
  <c r="K56" i="13" s="1"/>
  <c r="L54" i="13"/>
  <c r="L56" i="13" s="1"/>
  <c r="M54" i="13"/>
  <c r="M56" i="13" s="1"/>
  <c r="N54" i="13"/>
  <c r="N56" i="13" s="1"/>
  <c r="O54" i="13"/>
  <c r="C55" i="13"/>
  <c r="C57" i="13" s="1"/>
  <c r="D55" i="13"/>
  <c r="E55" i="13"/>
  <c r="F55" i="13"/>
  <c r="G55" i="13"/>
  <c r="K55" i="13"/>
  <c r="L55" i="13"/>
  <c r="M55" i="13"/>
  <c r="N55" i="13"/>
  <c r="O55" i="13"/>
  <c r="C56" i="13"/>
  <c r="D56" i="13"/>
  <c r="E56" i="13"/>
  <c r="F56" i="13"/>
  <c r="G56" i="13"/>
  <c r="O57" i="13"/>
  <c r="C21" i="14" l="1"/>
  <c r="G63" i="14"/>
  <c r="D21" i="14"/>
  <c r="K63" i="14"/>
  <c r="O83" i="14"/>
  <c r="D42" i="14"/>
  <c r="M84" i="14"/>
  <c r="N63" i="14"/>
  <c r="O63" i="14"/>
  <c r="F84" i="14"/>
  <c r="L21" i="14"/>
  <c r="C42" i="14"/>
  <c r="M21" i="14"/>
  <c r="E42" i="14"/>
  <c r="L84" i="14"/>
  <c r="F42" i="14"/>
  <c r="G20" i="14"/>
  <c r="E83" i="14"/>
  <c r="K20" i="14"/>
  <c r="G83" i="14"/>
  <c r="K84" i="14"/>
  <c r="N21" i="14"/>
  <c r="O21" i="14"/>
  <c r="K14" i="13"/>
  <c r="L15" i="13"/>
  <c r="G15" i="13"/>
  <c r="N15" i="13"/>
  <c r="D57" i="13"/>
  <c r="G43" i="13"/>
  <c r="G29" i="13"/>
  <c r="E15" i="13"/>
  <c r="F43" i="13"/>
  <c r="E42" i="13"/>
  <c r="F29" i="13"/>
  <c r="X43" i="13"/>
  <c r="W42" i="13"/>
  <c r="N57" i="13"/>
  <c r="W43" i="13"/>
  <c r="M57" i="13"/>
  <c r="V43" i="13"/>
  <c r="L57" i="13"/>
  <c r="O29" i="13"/>
  <c r="K57" i="13"/>
  <c r="N29" i="13"/>
  <c r="K15" i="13"/>
  <c r="L43" i="13"/>
  <c r="L29" i="13"/>
  <c r="O56" i="13"/>
  <c r="D43" i="13"/>
  <c r="D29" i="13"/>
  <c r="E29" i="13"/>
  <c r="D4" i="9" l="1"/>
  <c r="O31" i="9"/>
  <c r="N31" i="9"/>
  <c r="O28" i="9"/>
  <c r="N28" i="9"/>
  <c r="O25" i="9"/>
  <c r="N25" i="9"/>
  <c r="O21" i="9"/>
  <c r="N21" i="9"/>
  <c r="O18" i="9"/>
  <c r="N18" i="9"/>
  <c r="O15" i="9"/>
  <c r="N15" i="9"/>
  <c r="O12" i="9"/>
  <c r="O8" i="9"/>
  <c r="O4" i="9"/>
  <c r="N4" i="9"/>
  <c r="J31" i="9"/>
  <c r="I31" i="9"/>
  <c r="J28" i="9"/>
  <c r="I28" i="9"/>
  <c r="J25" i="9"/>
  <c r="I25" i="9"/>
  <c r="J21" i="9"/>
  <c r="I21" i="9"/>
  <c r="J18" i="9"/>
  <c r="I18" i="9"/>
  <c r="J15" i="9"/>
  <c r="I15" i="9"/>
  <c r="J12" i="9"/>
  <c r="I12" i="9"/>
  <c r="J8" i="9"/>
  <c r="I8" i="9"/>
  <c r="J4" i="9"/>
  <c r="I4" i="9"/>
  <c r="E31" i="9"/>
  <c r="D31" i="9"/>
  <c r="E28" i="9"/>
  <c r="D28" i="9"/>
  <c r="E25" i="9"/>
  <c r="D25" i="9"/>
  <c r="E21" i="9"/>
  <c r="D21" i="9"/>
  <c r="D15" i="9"/>
  <c r="E15" i="9"/>
  <c r="D18" i="9"/>
  <c r="E18" i="9"/>
  <c r="E8" i="9"/>
  <c r="E12" i="9"/>
  <c r="D12" i="9"/>
  <c r="D8" i="9"/>
  <c r="E4" i="9"/>
  <c r="B14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C7" i="3"/>
  <c r="D7" i="3"/>
  <c r="E7" i="3"/>
  <c r="F7" i="3"/>
  <c r="G7" i="3"/>
  <c r="H7" i="3"/>
  <c r="I7" i="3"/>
  <c r="J7" i="3"/>
  <c r="B7" i="3"/>
  <c r="C6" i="3"/>
  <c r="D6" i="3"/>
  <c r="E6" i="3"/>
  <c r="F6" i="3"/>
  <c r="G6" i="3"/>
  <c r="H6" i="3"/>
  <c r="I6" i="3"/>
  <c r="J6" i="3"/>
  <c r="B6" i="3"/>
  <c r="F7" i="4"/>
  <c r="F10" i="4"/>
  <c r="F13" i="4"/>
  <c r="F16" i="4"/>
  <c r="F19" i="4"/>
  <c r="F22" i="4"/>
  <c r="F25" i="4"/>
  <c r="F28" i="4"/>
  <c r="F31" i="4"/>
  <c r="F34" i="4"/>
  <c r="F37" i="4"/>
  <c r="F40" i="4"/>
  <c r="F43" i="4"/>
  <c r="F46" i="4"/>
  <c r="F49" i="4"/>
  <c r="F52" i="4"/>
  <c r="F55" i="4"/>
  <c r="F58" i="4"/>
  <c r="F61" i="4"/>
  <c r="F64" i="4"/>
  <c r="F67" i="4"/>
  <c r="F70" i="4"/>
  <c r="F73" i="4"/>
  <c r="F76" i="4"/>
  <c r="F79" i="4"/>
  <c r="F82" i="4"/>
  <c r="F85" i="4"/>
  <c r="F88" i="4"/>
  <c r="F91" i="4"/>
  <c r="F94" i="4"/>
  <c r="F97" i="4"/>
  <c r="F100" i="4"/>
  <c r="F103" i="4"/>
  <c r="F106" i="4"/>
  <c r="F109" i="4"/>
  <c r="F112" i="4"/>
  <c r="F115" i="4"/>
  <c r="F118" i="4"/>
  <c r="F121" i="4"/>
  <c r="F124" i="4"/>
  <c r="F127" i="4"/>
  <c r="F130" i="4"/>
  <c r="F133" i="4"/>
  <c r="F136" i="4"/>
  <c r="F139" i="4"/>
  <c r="F142" i="4"/>
  <c r="F145" i="4"/>
  <c r="F148" i="4"/>
  <c r="F151" i="4"/>
  <c r="F154" i="4"/>
  <c r="F157" i="4"/>
  <c r="F160" i="4"/>
  <c r="F163" i="4"/>
  <c r="F4" i="4"/>
  <c r="E94" i="4"/>
  <c r="E97" i="4"/>
  <c r="E100" i="4"/>
  <c r="E103" i="4"/>
  <c r="E106" i="4"/>
  <c r="E109" i="4"/>
  <c r="E112" i="4"/>
  <c r="E115" i="4"/>
  <c r="E118" i="4"/>
  <c r="E121" i="4"/>
  <c r="E124" i="4"/>
  <c r="E127" i="4"/>
  <c r="E130" i="4"/>
  <c r="E133" i="4"/>
  <c r="E136" i="4"/>
  <c r="E139" i="4"/>
  <c r="E142" i="4"/>
  <c r="E145" i="4"/>
  <c r="E148" i="4"/>
  <c r="E151" i="4"/>
  <c r="E154" i="4"/>
  <c r="E157" i="4"/>
  <c r="E160" i="4"/>
  <c r="E163" i="4"/>
  <c r="E91" i="4"/>
  <c r="E88" i="4"/>
  <c r="E85" i="4"/>
  <c r="E82" i="4"/>
  <c r="E79" i="4"/>
  <c r="E76" i="4"/>
  <c r="E73" i="4"/>
  <c r="E70" i="4"/>
  <c r="E67" i="4"/>
  <c r="E64" i="4"/>
  <c r="E61" i="4"/>
  <c r="E58" i="4"/>
  <c r="E55" i="4"/>
  <c r="E52" i="4"/>
  <c r="E49" i="4"/>
  <c r="E46" i="4"/>
  <c r="E43" i="4"/>
  <c r="E40" i="4"/>
  <c r="E37" i="4"/>
  <c r="E34" i="4"/>
  <c r="E31" i="4"/>
  <c r="E28" i="4"/>
  <c r="E25" i="4"/>
  <c r="E22" i="4"/>
  <c r="E19" i="4"/>
  <c r="E16" i="4"/>
  <c r="E13" i="4"/>
  <c r="E10" i="4"/>
  <c r="E7" i="4"/>
  <c r="E4" i="4"/>
  <c r="G70" i="5"/>
  <c r="J71" i="5"/>
  <c r="I71" i="5"/>
  <c r="H71" i="5"/>
  <c r="G71" i="5"/>
  <c r="J70" i="5"/>
  <c r="I70" i="5"/>
  <c r="H70" i="5"/>
  <c r="E71" i="5"/>
  <c r="D71" i="5"/>
  <c r="C71" i="5"/>
  <c r="B71" i="5"/>
  <c r="E70" i="5"/>
  <c r="D70" i="5"/>
  <c r="C70" i="5"/>
  <c r="B70" i="5"/>
  <c r="H63" i="5"/>
  <c r="I63" i="5"/>
  <c r="J63" i="5"/>
  <c r="G63" i="5"/>
  <c r="H62" i="5"/>
  <c r="I62" i="5"/>
  <c r="J62" i="5"/>
  <c r="G62" i="5"/>
  <c r="C62" i="5"/>
  <c r="D62" i="5"/>
  <c r="E62" i="5"/>
  <c r="C61" i="5"/>
  <c r="D61" i="5"/>
  <c r="E61" i="5"/>
  <c r="B62" i="5"/>
  <c r="B61" i="5"/>
  <c r="G54" i="5"/>
  <c r="H54" i="5"/>
  <c r="I54" i="5"/>
  <c r="J54" i="5"/>
  <c r="G53" i="5"/>
  <c r="H53" i="5"/>
  <c r="I53" i="5"/>
  <c r="J53" i="5"/>
  <c r="C54" i="5"/>
  <c r="D54" i="5"/>
  <c r="E54" i="5"/>
  <c r="C53" i="5"/>
  <c r="D53" i="5"/>
  <c r="E53" i="5"/>
  <c r="B54" i="5"/>
  <c r="B53" i="5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L14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N14" i="8"/>
  <c r="M14" i="8"/>
  <c r="K14" i="8"/>
  <c r="J14" i="8"/>
  <c r="I14" i="8"/>
  <c r="H14" i="8"/>
  <c r="G14" i="8"/>
  <c r="F14" i="8"/>
  <c r="E14" i="8"/>
  <c r="D14" i="8"/>
  <c r="C14" i="8"/>
  <c r="B14" i="8"/>
  <c r="C7" i="8"/>
  <c r="D7" i="8"/>
  <c r="E7" i="8"/>
  <c r="F7" i="8"/>
  <c r="G7" i="8"/>
  <c r="H7" i="8"/>
  <c r="I7" i="8"/>
  <c r="J7" i="8"/>
  <c r="K7" i="8"/>
  <c r="L7" i="8"/>
  <c r="M7" i="8"/>
  <c r="N7" i="8"/>
  <c r="B7" i="8"/>
  <c r="C6" i="8"/>
  <c r="D6" i="8"/>
  <c r="E6" i="8"/>
  <c r="F6" i="8"/>
  <c r="G6" i="8"/>
  <c r="H6" i="8"/>
  <c r="I6" i="8"/>
  <c r="J6" i="8"/>
  <c r="K6" i="8"/>
  <c r="L6" i="8"/>
  <c r="M6" i="8"/>
  <c r="N6" i="8"/>
  <c r="B6" i="8"/>
  <c r="H3" i="7" l="1"/>
  <c r="T3" i="7"/>
  <c r="S3" i="7"/>
  <c r="R3" i="7"/>
  <c r="Q3" i="7"/>
  <c r="P3" i="7"/>
  <c r="O3" i="7"/>
  <c r="N3" i="7"/>
  <c r="M3" i="7"/>
  <c r="L3" i="7"/>
  <c r="K3" i="7"/>
  <c r="J3" i="7"/>
  <c r="I3" i="7"/>
  <c r="G3" i="7"/>
  <c r="F3" i="7"/>
  <c r="V3" i="7" s="1"/>
  <c r="T2" i="7"/>
  <c r="S2" i="7"/>
  <c r="R2" i="7"/>
  <c r="Q2" i="7"/>
  <c r="P2" i="7"/>
  <c r="O2" i="7"/>
  <c r="N2" i="7"/>
  <c r="M2" i="7"/>
  <c r="L2" i="7"/>
  <c r="K2" i="7"/>
  <c r="J2" i="7"/>
  <c r="I2" i="7"/>
  <c r="H2" i="7"/>
  <c r="U2" i="7" s="1"/>
  <c r="G2" i="7"/>
  <c r="F2" i="7"/>
  <c r="V2" i="7" s="1"/>
  <c r="H35" i="7"/>
  <c r="G35" i="7"/>
  <c r="F35" i="7"/>
  <c r="H34" i="7"/>
  <c r="G34" i="7"/>
  <c r="F34" i="7"/>
  <c r="H31" i="7"/>
  <c r="G31" i="7"/>
  <c r="F31" i="7"/>
  <c r="J31" i="7" s="1"/>
  <c r="H30" i="7"/>
  <c r="G30" i="7"/>
  <c r="F30" i="7"/>
  <c r="H27" i="7"/>
  <c r="G27" i="7"/>
  <c r="F27" i="7"/>
  <c r="H26" i="7"/>
  <c r="G26" i="7"/>
  <c r="F26" i="7"/>
  <c r="H23" i="7"/>
  <c r="G23" i="7"/>
  <c r="F23" i="7"/>
  <c r="H22" i="7"/>
  <c r="G22" i="7"/>
  <c r="F22" i="7"/>
  <c r="H18" i="7"/>
  <c r="H19" i="7"/>
  <c r="G19" i="7"/>
  <c r="F19" i="7"/>
  <c r="G18" i="7"/>
  <c r="F18" i="7"/>
  <c r="G15" i="7"/>
  <c r="H15" i="7"/>
  <c r="F15" i="7"/>
  <c r="H14" i="7"/>
  <c r="G14" i="7"/>
  <c r="F14" i="7"/>
  <c r="J14" i="7" s="1"/>
  <c r="H7" i="7"/>
  <c r="G7" i="7"/>
  <c r="F7" i="7"/>
  <c r="H6" i="7"/>
  <c r="G6" i="7"/>
  <c r="F6" i="7"/>
  <c r="H11" i="7"/>
  <c r="G11" i="7"/>
  <c r="F11" i="7"/>
  <c r="H10" i="7"/>
  <c r="G10" i="7"/>
  <c r="F10" i="7"/>
  <c r="U3" i="7" l="1"/>
  <c r="J23" i="7"/>
  <c r="J15" i="7"/>
  <c r="J10" i="7"/>
  <c r="J22" i="7"/>
  <c r="J34" i="7"/>
  <c r="J35" i="7"/>
  <c r="J26" i="7"/>
  <c r="J7" i="7"/>
  <c r="J27" i="7"/>
  <c r="J11" i="7"/>
  <c r="J19" i="7"/>
  <c r="I30" i="7"/>
  <c r="J6" i="7"/>
  <c r="I34" i="7"/>
  <c r="I35" i="7"/>
  <c r="J30" i="7"/>
  <c r="I31" i="7"/>
  <c r="I26" i="7"/>
  <c r="I27" i="7"/>
  <c r="I22" i="7"/>
  <c r="I23" i="7"/>
  <c r="I18" i="7"/>
  <c r="J18" i="7"/>
  <c r="I19" i="7"/>
  <c r="I15" i="7"/>
  <c r="I14" i="7"/>
  <c r="I6" i="7"/>
  <c r="I7" i="7"/>
  <c r="I10" i="7"/>
  <c r="I11" i="7"/>
  <c r="B6" i="6"/>
  <c r="C7" i="6"/>
  <c r="D7" i="6"/>
  <c r="E7" i="6"/>
  <c r="F7" i="6"/>
  <c r="G7" i="6"/>
  <c r="H7" i="6"/>
  <c r="I7" i="6"/>
  <c r="B7" i="6"/>
  <c r="C6" i="6"/>
  <c r="D6" i="6"/>
  <c r="E6" i="6"/>
  <c r="F6" i="6"/>
  <c r="G6" i="6"/>
  <c r="H6" i="6"/>
  <c r="I6" i="6"/>
  <c r="C10" i="2"/>
  <c r="D10" i="2"/>
  <c r="E10" i="2"/>
  <c r="F10" i="2"/>
  <c r="G10" i="2"/>
  <c r="H10" i="2"/>
  <c r="I10" i="2"/>
  <c r="J10" i="2"/>
  <c r="B10" i="2"/>
  <c r="B9" i="2"/>
  <c r="C9" i="2"/>
  <c r="D9" i="2"/>
  <c r="E9" i="2"/>
  <c r="F9" i="2"/>
  <c r="G9" i="2"/>
  <c r="H9" i="2"/>
  <c r="I9" i="2"/>
  <c r="J9" i="2"/>
</calcChain>
</file>

<file path=xl/sharedStrings.xml><?xml version="1.0" encoding="utf-8"?>
<sst xmlns="http://schemas.openxmlformats.org/spreadsheetml/2006/main" count="1004" uniqueCount="163">
  <si>
    <t>Native tissue</t>
  </si>
  <si>
    <t>ng/mg dry weight</t>
  </si>
  <si>
    <t>Average</t>
  </si>
  <si>
    <t>STDEV</t>
  </si>
  <si>
    <t>Reduction</t>
  </si>
  <si>
    <t>Triton 1%+SDS 0.1%-48h</t>
  </si>
  <si>
    <t>Triton 1%+SDS 0.1%-72h</t>
  </si>
  <si>
    <t>Triton 1%+SDS 0.5%-48h</t>
  </si>
  <si>
    <t>Triton 1%+SDS 0.5%-72h</t>
  </si>
  <si>
    <t>Triton 1%+SDS 1%-48h</t>
  </si>
  <si>
    <t>Triton 1%+SDS 1%-72h</t>
  </si>
  <si>
    <t>Triton 1%+SDS 1.5%-48h</t>
  </si>
  <si>
    <t>Triton 1%+SDS 1.5%-72h</t>
  </si>
  <si>
    <t>μg/g dry weight</t>
  </si>
  <si>
    <t>T1% + S0.1% - 48h</t>
  </si>
  <si>
    <t>T1% + S0.1% - 72h</t>
  </si>
  <si>
    <t>T1% + S0.5% - 48h</t>
  </si>
  <si>
    <t>T1% + S0.5% - 72h</t>
  </si>
  <si>
    <t>T1% + S1% - 48h</t>
  </si>
  <si>
    <t>T1% + S1% - 72h</t>
  </si>
  <si>
    <t>T1% + S1.5% - 48h</t>
  </si>
  <si>
    <t>T1% + S1.5% - 72h</t>
  </si>
  <si>
    <t>Aveage</t>
  </si>
  <si>
    <t>Native Tissue</t>
  </si>
  <si>
    <t xml:space="preserve">dUECM-Triton 1%+SDS 0.1%-72h </t>
  </si>
  <si>
    <r>
      <t>1655 cm</t>
    </r>
    <r>
      <rPr>
        <sz val="7"/>
        <color rgb="FF2E2E2E"/>
        <rFont val="Aptos Narrow"/>
        <family val="2"/>
        <scheme val="minor"/>
      </rPr>
      <t>−1</t>
    </r>
    <r>
      <rPr>
        <sz val="10"/>
        <color rgb="FF2E2E2E"/>
        <rFont val="Aptos Narrow"/>
        <family val="2"/>
        <scheme val="minor"/>
      </rPr>
      <t>/1690 cm</t>
    </r>
    <r>
      <rPr>
        <sz val="7"/>
        <color rgb="FF2E2E2E"/>
        <rFont val="Aptos Narrow"/>
        <family val="2"/>
        <scheme val="minor"/>
      </rPr>
      <t>−1</t>
    </r>
    <r>
      <rPr>
        <sz val="10"/>
        <color rgb="FF2E2E2E"/>
        <rFont val="Aptos Narrow"/>
        <family val="2"/>
        <scheme val="minor"/>
      </rPr>
      <t> absorbance ratio</t>
    </r>
  </si>
  <si>
    <t>Amid III/1450 cm-1 ratio</t>
  </si>
  <si>
    <t>R1</t>
  </si>
  <si>
    <t>R2</t>
  </si>
  <si>
    <t>R3</t>
  </si>
  <si>
    <t>Replicates</t>
  </si>
  <si>
    <r>
      <t>1655 cm</t>
    </r>
    <r>
      <rPr>
        <b/>
        <sz val="7"/>
        <color rgb="FF2E2E2E"/>
        <rFont val="Aptos Narrow"/>
        <family val="2"/>
        <scheme val="minor"/>
      </rPr>
      <t>−1</t>
    </r>
    <r>
      <rPr>
        <b/>
        <sz val="10"/>
        <color rgb="FF2E2E2E"/>
        <rFont val="Aptos Narrow"/>
        <family val="2"/>
        <scheme val="minor"/>
      </rPr>
      <t>/1690 cm</t>
    </r>
    <r>
      <rPr>
        <b/>
        <sz val="7"/>
        <color rgb="FF2E2E2E"/>
        <rFont val="Aptos Narrow"/>
        <family val="2"/>
        <scheme val="minor"/>
      </rPr>
      <t>−1</t>
    </r>
    <r>
      <rPr>
        <b/>
        <sz val="10"/>
        <color rgb="FF2E2E2E"/>
        <rFont val="Aptos Narrow"/>
        <family val="2"/>
        <scheme val="minor"/>
      </rPr>
      <t> absorbance ratio</t>
    </r>
  </si>
  <si>
    <t xml:space="preserve">dUECM-Triton 1%+SDS 0.1%-48h </t>
  </si>
  <si>
    <t xml:space="preserve">dUECM-Triton 1%+SDS 0.5%-48h </t>
  </si>
  <si>
    <t xml:space="preserve">dUECM-Triton 1%+SDS 0.5%-72h </t>
  </si>
  <si>
    <t xml:space="preserve">dUECM-Triton 1%+SDS 1%-48h </t>
  </si>
  <si>
    <t xml:space="preserve">dUECM-Triton 1%+SDS 1%-72h </t>
  </si>
  <si>
    <t xml:space="preserve">dUECM-Triton 1%+SDS 1.5%-48h </t>
  </si>
  <si>
    <t xml:space="preserve">dUECM-Triton 1%+SDS 1.5%-72h 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</si>
  <si>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</si>
  <si>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</si>
  <si>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</si>
  <si>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</si>
  <si>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</si>
  <si>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</si>
  <si>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</si>
  <si>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</si>
  <si>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</si>
  <si>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</si>
  <si>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</si>
  <si>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</si>
  <si>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T1+S0.1-24 h</t>
  </si>
  <si>
    <t>T1+S0.1-48 h</t>
  </si>
  <si>
    <t>T1+S0.1-72 h</t>
  </si>
  <si>
    <t>T1+S0.5-24 h</t>
  </si>
  <si>
    <t>T1+S0.5-48 h</t>
  </si>
  <si>
    <t>T1+S0.5-72 h</t>
  </si>
  <si>
    <t>T1+S1-24 h</t>
  </si>
  <si>
    <t>T1+S1-48 h</t>
  </si>
  <si>
    <t>T1+S1-72 h</t>
  </si>
  <si>
    <t>T1+S1.5-24 h</t>
  </si>
  <si>
    <t>T1+S1.5-48 h</t>
  </si>
  <si>
    <t>T1+S1.5-72 h</t>
  </si>
  <si>
    <t>Reploicates</t>
  </si>
  <si>
    <t>1660/1620</t>
  </si>
  <si>
    <t>1240/1270</t>
  </si>
  <si>
    <t>1240/1450</t>
  </si>
  <si>
    <t>1320/1450</t>
  </si>
  <si>
    <t>Alg 2%</t>
  </si>
  <si>
    <t>Alg 2% + dUECM 0.5%</t>
  </si>
  <si>
    <t>Alg 2% + dUECM 1%</t>
  </si>
  <si>
    <t>Alg 2% + dUECM 1.5%</t>
  </si>
  <si>
    <t xml:space="preserve">Groups </t>
  </si>
  <si>
    <t>Groups</t>
  </si>
  <si>
    <t>μg/mg dry weight</t>
  </si>
  <si>
    <t xml:space="preserve">Printability </t>
  </si>
  <si>
    <t>Alg 3%</t>
  </si>
  <si>
    <t>Alg 3% + dUECM 0.5%</t>
  </si>
  <si>
    <t>Alg 3% + dUECM 1%</t>
  </si>
  <si>
    <t>Alg 3% + dUECM 1.5%</t>
  </si>
  <si>
    <t>Printing Speed (mm/sec)</t>
  </si>
  <si>
    <t>Printing N2 Pressure (kPa)</t>
  </si>
  <si>
    <t>Time (Minute)</t>
  </si>
  <si>
    <t>dUECM Group</t>
  </si>
  <si>
    <t>Result</t>
  </si>
  <si>
    <t>1.5% dUECM</t>
  </si>
  <si>
    <t>1% dUECM</t>
  </si>
  <si>
    <t>0.5% dUECM</t>
  </si>
  <si>
    <t>UTS (Pa)</t>
  </si>
  <si>
    <t>Elongation (%)</t>
  </si>
  <si>
    <t>Control</t>
  </si>
  <si>
    <t xml:space="preserve">2% Alg </t>
  </si>
  <si>
    <t>2% Alg + 0.5% dUECM</t>
  </si>
  <si>
    <t>2% Alg + 1% dUECM</t>
  </si>
  <si>
    <t>2% Alg + 1.5% dUECM</t>
  </si>
  <si>
    <t>3% Alg</t>
  </si>
  <si>
    <t>3% Alg + 0.5% dUECM</t>
  </si>
  <si>
    <t>3% Alg + 1% dUECM</t>
  </si>
  <si>
    <t>3% Alg + 1.5% dUECM</t>
  </si>
  <si>
    <t>DAY 1</t>
  </si>
  <si>
    <t>%</t>
  </si>
  <si>
    <t>DAY 3</t>
  </si>
  <si>
    <t>DAY 5</t>
  </si>
  <si>
    <t>DAY 7</t>
  </si>
  <si>
    <t>% remain std</t>
  </si>
  <si>
    <t>% remaining</t>
  </si>
  <si>
    <t>Std</t>
  </si>
  <si>
    <t>Mean</t>
  </si>
  <si>
    <t>IV</t>
  </si>
  <si>
    <t>III</t>
  </si>
  <si>
    <t>II</t>
  </si>
  <si>
    <t>I</t>
  </si>
  <si>
    <t>Dry Mass
(mg)</t>
  </si>
  <si>
    <t>Duration (days)</t>
  </si>
  <si>
    <t>DP4</t>
  </si>
  <si>
    <t>DP3</t>
  </si>
  <si>
    <t>DP2</t>
  </si>
  <si>
    <t>DP1</t>
  </si>
  <si>
    <t>DP0</t>
  </si>
  <si>
    <t>ECM</t>
  </si>
  <si>
    <t>SA 3%</t>
  </si>
  <si>
    <t>D2</t>
  </si>
  <si>
    <t>Hydrogel</t>
  </si>
  <si>
    <t>SA 2%</t>
  </si>
  <si>
    <t>D1</t>
  </si>
  <si>
    <t>C1</t>
  </si>
  <si>
    <t>SA 3% + ECM 0.5%</t>
  </si>
  <si>
    <t>C2</t>
  </si>
  <si>
    <t>SA 2% + ECM 0.5%</t>
  </si>
  <si>
    <t>C1 bis</t>
  </si>
  <si>
    <t>SA 3% + ECM 1.0%</t>
  </si>
  <si>
    <t>A2</t>
  </si>
  <si>
    <t>SA 2% + ECM 1.0%</t>
  </si>
  <si>
    <t>A1</t>
  </si>
  <si>
    <t>SA 3% + ECM 1.5%</t>
  </si>
  <si>
    <t>B2</t>
  </si>
  <si>
    <t>SA 2% + ECM 1.5%</t>
  </si>
  <si>
    <t>B1</t>
  </si>
  <si>
    <t>SA</t>
  </si>
  <si>
    <t>SA 2% ECM + 1.5%</t>
  </si>
  <si>
    <t>SA 3% ECM + 1.5%</t>
  </si>
  <si>
    <t>SP0</t>
  </si>
  <si>
    <t>SP1</t>
  </si>
  <si>
    <t>SP2</t>
  </si>
  <si>
    <t>SP3</t>
  </si>
  <si>
    <t>SP4</t>
  </si>
  <si>
    <t>Initial (mg)</t>
  </si>
  <si>
    <t>Final (mg)</t>
  </si>
  <si>
    <t>% swelling</t>
  </si>
  <si>
    <t>% swelling mean</t>
  </si>
  <si>
    <t>% swelling std</t>
  </si>
  <si>
    <t>Average iniatial mass (mg)</t>
  </si>
  <si>
    <t>SA 2% ECM + 1.0%</t>
  </si>
  <si>
    <t>SA 3% ECM + 1.0%</t>
  </si>
  <si>
    <t>SA 2% ECM + 0.5%</t>
  </si>
  <si>
    <t>SA 3% ECM + 0.5%</t>
  </si>
  <si>
    <t>Incubation days</t>
  </si>
  <si>
    <t>SA 2% ECM 0.5%</t>
  </si>
  <si>
    <t>SA 2% ECM 1.0%</t>
  </si>
  <si>
    <t>SA 2% ECM 1.5%</t>
  </si>
  <si>
    <t>SA 3% ECM 0.5%</t>
  </si>
  <si>
    <t>SA 3% ECM 1.0%</t>
  </si>
  <si>
    <t>SA 3% ECM 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</si>
</sst>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2E2E2E"/>
      <name val="Aptos Narrow"/>
      <family val="2"/>
      <scheme val="minor"/>
    </font>
    <font>
      <sz val="7"/>
      <color rgb="FF2E2E2E"/>
      <name val="Aptos Narrow"/>
      <family val="2"/>
      <scheme val="minor"/>
    </font>
    <font>
      <b/>
      <sz val="10"/>
      <color rgb="FF2E2E2E"/>
      <name val="Aptos Narrow"/>
      <family val="2"/>
      <scheme val="minor"/>
    </font>
    <font>
      <b/>
      <sz val="7"/>
      <color rgb="FF2E2E2E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3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0" fillId="0" borderId="12" xfId="0" applyBorder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/>
    <xf numFmtId="2" fontId="1" fillId="2" borderId="12" xfId="0" applyNumberFormat="1" applyFont="1" applyFill="1" applyBorder="1"/>
    <xf numFmtId="2" fontId="1" fillId="2" borderId="12" xfId="0" applyNumberFormat="1" applyFont="1" applyFill="1" applyBorder="1" applyAlignment="1">
      <alignment horizontal="center"/>
    </xf>
    <xf numFmtId="2" fontId="1" fillId="0" borderId="12" xfId="0" applyNumberFormat="1" applyFont="1" applyBorder="1"/>
    <xf numFmtId="2" fontId="1" fillId="3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/>
    <xf numFmtId="2" fontId="0" fillId="2" borderId="0" xfId="0" applyNumberFormat="1" applyFill="1" applyAlignment="1">
      <alignment horizontal="center" wrapText="1"/>
    </xf>
    <xf numFmtId="2" fontId="4" fillId="4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right" vertical="center"/>
    </xf>
    <xf numFmtId="2" fontId="1" fillId="0" borderId="0" xfId="0" applyNumberFormat="1" applyFont="1"/>
    <xf numFmtId="2" fontId="1" fillId="2" borderId="1" xfId="0" applyNumberFormat="1" applyFont="1" applyFill="1" applyBorder="1"/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5" xfId="0" applyFont="1" applyFill="1" applyBorder="1"/>
    <xf numFmtId="2" fontId="1" fillId="2" borderId="10" xfId="0" applyNumberFormat="1" applyFont="1" applyFill="1" applyBorder="1"/>
    <xf numFmtId="0" fontId="0" fillId="2" borderId="12" xfId="0" applyFill="1" applyBorder="1"/>
    <xf numFmtId="2" fontId="0" fillId="0" borderId="12" xfId="0" applyNumberFormat="1" applyBorder="1" applyAlignment="1">
      <alignment horizontal="center"/>
    </xf>
    <xf numFmtId="0" fontId="7" fillId="0" borderId="0" xfId="1"/>
    <xf numFmtId="164" fontId="8" fillId="0" borderId="0" xfId="1" applyNumberFormat="1" applyFont="1"/>
    <xf numFmtId="164" fontId="9" fillId="0" borderId="0" xfId="1" applyNumberFormat="1" applyFont="1"/>
    <xf numFmtId="9" fontId="0" fillId="0" borderId="12" xfId="2" applyFont="1" applyBorder="1"/>
    <xf numFmtId="164" fontId="7" fillId="0" borderId="12" xfId="1" applyNumberFormat="1" applyBorder="1"/>
    <xf numFmtId="164" fontId="8" fillId="0" borderId="19" xfId="1" applyNumberFormat="1" applyFont="1" applyBorder="1"/>
    <xf numFmtId="0" fontId="11" fillId="6" borderId="19" xfId="1" applyFont="1" applyFill="1" applyBorder="1" applyAlignment="1">
      <alignment horizontal="center"/>
    </xf>
    <xf numFmtId="0" fontId="8" fillId="0" borderId="19" xfId="1" applyFont="1" applyBorder="1"/>
    <xf numFmtId="0" fontId="11" fillId="6" borderId="18" xfId="1" applyFont="1" applyFill="1" applyBorder="1" applyAlignment="1">
      <alignment horizontal="center"/>
    </xf>
    <xf numFmtId="1" fontId="7" fillId="5" borderId="12" xfId="1" applyNumberFormat="1" applyFill="1" applyBorder="1"/>
    <xf numFmtId="0" fontId="11" fillId="6" borderId="18" xfId="1" applyFont="1" applyFill="1" applyBorder="1"/>
    <xf numFmtId="0" fontId="11" fillId="6" borderId="12" xfId="1" applyFont="1" applyFill="1" applyBorder="1"/>
    <xf numFmtId="0" fontId="8" fillId="0" borderId="0" xfId="1" applyFont="1"/>
    <xf numFmtId="10" fontId="7" fillId="0" borderId="0" xfId="1" applyNumberFormat="1"/>
    <xf numFmtId="0" fontId="8" fillId="6" borderId="0" xfId="1" applyFont="1" applyFill="1"/>
    <xf numFmtId="0" fontId="11" fillId="6" borderId="0" xfId="1" applyFont="1" applyFill="1"/>
    <xf numFmtId="164" fontId="9" fillId="0" borderId="19" xfId="1" applyNumberFormat="1" applyFont="1" applyBorder="1"/>
    <xf numFmtId="0" fontId="10" fillId="5" borderId="12" xfId="1" applyFont="1" applyFill="1" applyBorder="1" applyAlignment="1">
      <alignment horizontal="center"/>
    </xf>
    <xf numFmtId="0" fontId="10" fillId="5" borderId="12" xfId="1" applyFont="1" applyFill="1" applyBorder="1"/>
    <xf numFmtId="0" fontId="7" fillId="5" borderId="0" xfId="1" applyFill="1"/>
    <xf numFmtId="0" fontId="10" fillId="5" borderId="0" xfId="1" applyFont="1" applyFill="1"/>
    <xf numFmtId="0" fontId="10" fillId="5" borderId="13" xfId="1" applyFont="1" applyFill="1" applyBorder="1" applyAlignment="1">
      <alignment horizontal="center"/>
    </xf>
    <xf numFmtId="164" fontId="7" fillId="0" borderId="13" xfId="1" applyNumberFormat="1" applyBorder="1"/>
    <xf numFmtId="164" fontId="7" fillId="0" borderId="0" xfId="1" applyNumberFormat="1"/>
    <xf numFmtId="0" fontId="10" fillId="5" borderId="14" xfId="1" applyFont="1" applyFill="1" applyBorder="1" applyAlignment="1">
      <alignment horizontal="center"/>
    </xf>
    <xf numFmtId="164" fontId="7" fillId="7" borderId="14" xfId="1" applyNumberFormat="1" applyFill="1" applyBorder="1"/>
    <xf numFmtId="164" fontId="7" fillId="0" borderId="14" xfId="1" applyNumberFormat="1" applyBorder="1"/>
    <xf numFmtId="0" fontId="10" fillId="5" borderId="15" xfId="1" applyFont="1" applyFill="1" applyBorder="1" applyAlignment="1">
      <alignment horizontal="center"/>
    </xf>
    <xf numFmtId="9" fontId="0" fillId="0" borderId="15" xfId="2" applyFont="1" applyBorder="1"/>
    <xf numFmtId="9" fontId="0" fillId="0" borderId="0" xfId="2" applyFont="1" applyBorder="1"/>
    <xf numFmtId="164" fontId="12" fillId="0" borderId="14" xfId="1" applyNumberFormat="1" applyFont="1" applyBorder="1"/>
    <xf numFmtId="9" fontId="10" fillId="0" borderId="12" xfId="2" applyFont="1" applyBorder="1"/>
    <xf numFmtId="0" fontId="10" fillId="5" borderId="12" xfId="1" applyFont="1" applyFill="1" applyBorder="1" applyAlignment="1">
      <alignment vertical="center" wrapText="1"/>
    </xf>
    <xf numFmtId="164" fontId="7" fillId="7" borderId="13" xfId="1" applyNumberFormat="1" applyFill="1" applyBorder="1"/>
    <xf numFmtId="0" fontId="10" fillId="5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/>
    </xf>
    <xf numFmtId="2" fontId="0" fillId="8" borderId="10" xfId="0" applyNumberFormat="1" applyFill="1" applyBorder="1" applyAlignment="1">
      <alignment horizontal="center" vertical="center"/>
    </xf>
    <xf numFmtId="2" fontId="0" fillId="8" borderId="29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31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33" xfId="0" applyNumberFormat="1" applyFill="1" applyBorder="1" applyAlignment="1">
      <alignment horizontal="center" vertical="center"/>
    </xf>
    <xf numFmtId="2" fontId="0" fillId="8" borderId="35" xfId="0" applyNumberFormat="1" applyFill="1" applyBorder="1" applyAlignment="1">
      <alignment horizontal="center" vertical="center"/>
    </xf>
    <xf numFmtId="2" fontId="0" fillId="8" borderId="36" xfId="0" applyNumberFormat="1" applyFill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11" fillId="6" borderId="15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5" borderId="25" xfId="0" applyNumberFormat="1" applyFon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1" fontId="10" fillId="5" borderId="26" xfId="0" applyNumberFormat="1" applyFont="1" applyFill="1" applyBorder="1" applyAlignment="1">
      <alignment horizontal="center" vertical="center"/>
    </xf>
    <xf numFmtId="1" fontId="10" fillId="5" borderId="23" xfId="0" applyNumberFormat="1" applyFont="1" applyFill="1" applyBorder="1" applyAlignment="1">
      <alignment horizontal="center" vertical="center"/>
    </xf>
    <xf numFmtId="1" fontId="10" fillId="5" borderId="27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F002A919-E3A5-46F2-B1C5-3C2EEE092619}"/>
    <cellStyle name="Percent 2" xfId="2" xr:uid="{00DF2544-E639-497E-A9CD-6FC759B803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workbookViewId="0">
      <selection activeCell="F15" sqref="F15"/>
    </sheetView>
  </sheetViews>
  <sheetFormatPr defaultRowHeight="14.4" x14ac:dyDescent="0.3"/>
  <cols>
    <col min="1" max="1" width="22.88671875" bestFit="1" customWidth="1"/>
  </cols>
  <sheetData>
    <row r="1" spans="1:8" x14ac:dyDescent="0.3">
      <c r="A1" s="107" t="s">
        <v>0</v>
      </c>
      <c r="B1" s="101" t="s">
        <v>1</v>
      </c>
      <c r="C1" s="105"/>
      <c r="D1" s="102"/>
      <c r="E1" s="3" t="s">
        <v>2</v>
      </c>
      <c r="F1" s="3" t="s">
        <v>3</v>
      </c>
      <c r="G1" s="101" t="s">
        <v>4</v>
      </c>
      <c r="H1" s="102"/>
    </row>
    <row r="2" spans="1:8" x14ac:dyDescent="0.3">
      <c r="A2" s="108"/>
      <c r="B2" s="103"/>
      <c r="C2" s="106"/>
      <c r="D2" s="104"/>
      <c r="E2" s="7">
        <v>9142.6666666666661</v>
      </c>
      <c r="F2" s="7">
        <v>26.633312473917574</v>
      </c>
      <c r="G2" s="103"/>
      <c r="H2" s="104"/>
    </row>
    <row r="3" spans="1:8" x14ac:dyDescent="0.3">
      <c r="A3" s="2" t="s">
        <v>5</v>
      </c>
      <c r="B3" s="4">
        <v>430</v>
      </c>
      <c r="C3" s="4">
        <v>416</v>
      </c>
      <c r="D3" s="4">
        <v>412</v>
      </c>
      <c r="E3" s="6">
        <v>419.33333333333331</v>
      </c>
      <c r="F3" s="6">
        <v>9.4516312525052175</v>
      </c>
      <c r="G3" s="5">
        <v>4.5865538865393036</v>
      </c>
      <c r="H3" s="6">
        <v>95.413446113460694</v>
      </c>
    </row>
    <row r="4" spans="1:8" x14ac:dyDescent="0.3">
      <c r="A4" s="2" t="s">
        <v>6</v>
      </c>
      <c r="B4" s="4">
        <v>406</v>
      </c>
      <c r="C4" s="4">
        <v>410</v>
      </c>
      <c r="D4" s="4">
        <v>410</v>
      </c>
      <c r="E4" s="6">
        <v>408.66666666666669</v>
      </c>
      <c r="F4" s="6">
        <v>2.3094010767585029</v>
      </c>
      <c r="G4" s="5">
        <v>4.4698847892664446</v>
      </c>
      <c r="H4" s="6">
        <v>95.530115210733555</v>
      </c>
    </row>
    <row r="5" spans="1:8" x14ac:dyDescent="0.3">
      <c r="A5" s="2" t="s">
        <v>7</v>
      </c>
      <c r="B5" s="4">
        <v>78</v>
      </c>
      <c r="C5" s="4">
        <v>88.000000000000014</v>
      </c>
      <c r="D5" s="4">
        <v>81.999999999999986</v>
      </c>
      <c r="E5" s="6">
        <v>82.666666666666671</v>
      </c>
      <c r="F5" s="6">
        <v>5.0332229568471751</v>
      </c>
      <c r="G5" s="5">
        <v>0.90418550386466412</v>
      </c>
      <c r="H5" s="6">
        <v>99.095814496135333</v>
      </c>
    </row>
    <row r="6" spans="1:8" x14ac:dyDescent="0.3">
      <c r="A6" s="2" t="s">
        <v>8</v>
      </c>
      <c r="B6" s="4">
        <v>106</v>
      </c>
      <c r="C6" s="4">
        <v>66</v>
      </c>
      <c r="D6" s="4">
        <v>72</v>
      </c>
      <c r="E6" s="6">
        <v>81.333333333333329</v>
      </c>
      <c r="F6" s="6">
        <v>21.57158624981793</v>
      </c>
      <c r="G6" s="5">
        <v>0.88960186670555652</v>
      </c>
      <c r="H6" s="6">
        <v>99.110398133294439</v>
      </c>
    </row>
    <row r="7" spans="1:8" x14ac:dyDescent="0.3">
      <c r="A7" s="2" t="s">
        <v>9</v>
      </c>
      <c r="B7" s="4">
        <v>60</v>
      </c>
      <c r="C7" s="4">
        <v>52</v>
      </c>
      <c r="D7" s="4">
        <v>42</v>
      </c>
      <c r="E7" s="6">
        <v>51.333333333333336</v>
      </c>
      <c r="F7" s="6">
        <v>9.0184995056457975</v>
      </c>
      <c r="G7" s="5">
        <v>0.56147003062563816</v>
      </c>
      <c r="H7" s="6">
        <v>99.438529969374358</v>
      </c>
    </row>
    <row r="8" spans="1:8" x14ac:dyDescent="0.3">
      <c r="A8" s="2" t="s">
        <v>10</v>
      </c>
      <c r="B8" s="4">
        <v>16</v>
      </c>
      <c r="C8" s="4">
        <v>30</v>
      </c>
      <c r="D8" s="4">
        <v>26</v>
      </c>
      <c r="E8" s="6">
        <v>24</v>
      </c>
      <c r="F8" s="6">
        <v>7.2111025509279782</v>
      </c>
      <c r="G8" s="5">
        <v>0.26250546886393472</v>
      </c>
      <c r="H8" s="6">
        <v>99.737494531136065</v>
      </c>
    </row>
    <row r="9" spans="1:8" x14ac:dyDescent="0.3">
      <c r="A9" s="2" t="s">
        <v>11</v>
      </c>
      <c r="B9" s="4">
        <v>24</v>
      </c>
      <c r="C9" s="4">
        <v>26</v>
      </c>
      <c r="D9" s="4">
        <v>38</v>
      </c>
      <c r="E9" s="6">
        <v>29.333333333333332</v>
      </c>
      <c r="F9" s="6">
        <v>7.5718777944003595</v>
      </c>
      <c r="G9" s="5">
        <v>0.32084001750036467</v>
      </c>
      <c r="H9" s="6">
        <v>99.679159982499641</v>
      </c>
    </row>
    <row r="10" spans="1:8" x14ac:dyDescent="0.3">
      <c r="A10" s="2" t="s">
        <v>12</v>
      </c>
      <c r="B10" s="4">
        <v>8</v>
      </c>
      <c r="C10" s="4">
        <v>4</v>
      </c>
      <c r="D10" s="4">
        <v>28</v>
      </c>
      <c r="E10" s="6">
        <v>13.333333333333334</v>
      </c>
      <c r="F10" s="6">
        <v>12.858201014657272</v>
      </c>
      <c r="G10" s="5">
        <v>0.14583637159107485</v>
      </c>
      <c r="H10" s="6">
        <v>99.854163628408926</v>
      </c>
    </row>
  </sheetData>
  <mergeCells count="3">
    <mergeCell ref="G1:H2"/>
    <mergeCell ref="B1:D2"/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2CA8-6FC1-4183-BD61-75A9A99E81A9}">
  <dimension ref="A1:F35"/>
  <sheetViews>
    <sheetView workbookViewId="0">
      <selection activeCell="H9" sqref="H9"/>
    </sheetView>
  </sheetViews>
  <sheetFormatPr defaultRowHeight="14.4" x14ac:dyDescent="0.3"/>
  <cols>
    <col min="1" max="1" width="16.33203125" bestFit="1" customWidth="1"/>
    <col min="2" max="6" width="6.5546875" bestFit="1" customWidth="1"/>
  </cols>
  <sheetData>
    <row r="1" spans="1:6" ht="15" thickBot="1" x14ac:dyDescent="0.35"/>
    <row r="2" spans="1:6" ht="15.6" x14ac:dyDescent="0.3">
      <c r="A2" s="84" t="s">
        <v>156</v>
      </c>
      <c r="B2" s="140">
        <f>10/60/24</f>
        <v>6.9444444444444441E-3</v>
      </c>
      <c r="C2" s="142">
        <v>1</v>
      </c>
      <c r="D2" s="142">
        <v>3</v>
      </c>
      <c r="E2" s="142">
        <f>7</f>
        <v>7</v>
      </c>
      <c r="F2" s="144">
        <f>14</f>
        <v>14</v>
      </c>
    </row>
    <row r="3" spans="1:6" ht="16.2" thickBot="1" x14ac:dyDescent="0.35">
      <c r="A3" s="85" t="s">
        <v>122</v>
      </c>
      <c r="B3" s="141"/>
      <c r="C3" s="143"/>
      <c r="D3" s="143"/>
      <c r="E3" s="143"/>
      <c r="F3" s="145"/>
    </row>
    <row r="4" spans="1:6" x14ac:dyDescent="0.3">
      <c r="A4" s="146" t="s">
        <v>123</v>
      </c>
      <c r="B4" s="86">
        <v>88.935000000000002</v>
      </c>
      <c r="C4" s="86">
        <v>33.935000000000002</v>
      </c>
      <c r="D4" s="86">
        <v>21.170999999999999</v>
      </c>
      <c r="E4" s="86">
        <v>26.42</v>
      </c>
      <c r="F4" s="87">
        <v>2.7926000000000002</v>
      </c>
    </row>
    <row r="5" spans="1:6" x14ac:dyDescent="0.3">
      <c r="A5" s="137"/>
      <c r="B5" s="88">
        <v>41.890999999999998</v>
      </c>
      <c r="C5" s="88">
        <v>93.272000000000006</v>
      </c>
      <c r="D5" s="88">
        <v>27.25</v>
      </c>
      <c r="E5" s="88">
        <v>28.460999999999999</v>
      </c>
      <c r="F5" s="89">
        <v>12.151</v>
      </c>
    </row>
    <row r="6" spans="1:6" x14ac:dyDescent="0.3">
      <c r="A6" s="137"/>
      <c r="B6" s="88">
        <v>105.95</v>
      </c>
      <c r="C6" s="88">
        <v>17.314</v>
      </c>
      <c r="D6" s="88">
        <v>18.582999999999998</v>
      </c>
      <c r="E6" s="88">
        <v>40.006</v>
      </c>
      <c r="F6" s="89">
        <v>17.306999999999999</v>
      </c>
    </row>
    <row r="7" spans="1:6" ht="15" thickBot="1" x14ac:dyDescent="0.35">
      <c r="A7" s="138"/>
      <c r="B7" s="90">
        <v>82.41</v>
      </c>
      <c r="C7" s="90">
        <v>45.38</v>
      </c>
      <c r="D7" s="90">
        <v>35.4</v>
      </c>
      <c r="E7" s="90">
        <v>30.84</v>
      </c>
      <c r="F7" s="91">
        <v>15.9</v>
      </c>
    </row>
    <row r="8" spans="1:6" x14ac:dyDescent="0.3">
      <c r="A8" s="136" t="s">
        <v>157</v>
      </c>
      <c r="B8" s="92">
        <v>134.66</v>
      </c>
      <c r="C8" s="92">
        <v>61.26</v>
      </c>
      <c r="D8" s="92">
        <v>72.266999999999996</v>
      </c>
      <c r="E8" s="92">
        <v>67.456999999999994</v>
      </c>
      <c r="F8" s="93">
        <v>89.54</v>
      </c>
    </row>
    <row r="9" spans="1:6" x14ac:dyDescent="0.3">
      <c r="A9" s="137"/>
      <c r="B9" s="88">
        <v>73.263999999999996</v>
      </c>
      <c r="C9" s="88">
        <v>65.602999999999994</v>
      </c>
      <c r="D9" s="88">
        <v>62.973999999999997</v>
      </c>
      <c r="E9" s="88">
        <v>77.244</v>
      </c>
      <c r="F9" s="89">
        <v>44.31</v>
      </c>
    </row>
    <row r="10" spans="1:6" x14ac:dyDescent="0.3">
      <c r="A10" s="137"/>
      <c r="B10" s="88">
        <v>233.71</v>
      </c>
      <c r="C10" s="88">
        <v>76.513999999999996</v>
      </c>
      <c r="D10" s="88">
        <v>45.140999999999998</v>
      </c>
      <c r="E10" s="88">
        <v>55.79</v>
      </c>
      <c r="F10" s="89">
        <v>35.78</v>
      </c>
    </row>
    <row r="11" spans="1:6" ht="15" thickBot="1" x14ac:dyDescent="0.35">
      <c r="A11" s="138"/>
      <c r="B11" s="90">
        <v>230.85</v>
      </c>
      <c r="C11" s="90">
        <v>74.290999999999997</v>
      </c>
      <c r="D11" s="90">
        <v>73.134</v>
      </c>
      <c r="E11" s="90">
        <v>59.79</v>
      </c>
      <c r="F11" s="91">
        <v>52.59</v>
      </c>
    </row>
    <row r="12" spans="1:6" x14ac:dyDescent="0.3">
      <c r="A12" s="136" t="s">
        <v>158</v>
      </c>
      <c r="B12" s="92">
        <v>185.21</v>
      </c>
      <c r="C12" s="92">
        <v>167.9</v>
      </c>
      <c r="D12" s="92">
        <v>61.582999999999998</v>
      </c>
      <c r="E12" s="92">
        <v>128.63999999999999</v>
      </c>
      <c r="F12" s="93">
        <v>135.97999999999999</v>
      </c>
    </row>
    <row r="13" spans="1:6" x14ac:dyDescent="0.3">
      <c r="A13" s="137"/>
      <c r="B13" s="88">
        <v>227.6</v>
      </c>
      <c r="C13" s="88">
        <v>148.91</v>
      </c>
      <c r="D13" s="88">
        <v>158.38999999999999</v>
      </c>
      <c r="E13" s="88">
        <v>111.92</v>
      </c>
      <c r="F13" s="89">
        <v>155.56</v>
      </c>
    </row>
    <row r="14" spans="1:6" x14ac:dyDescent="0.3">
      <c r="A14" s="137"/>
      <c r="B14" s="88">
        <v>258.79000000000002</v>
      </c>
      <c r="C14" s="88">
        <v>123.67</v>
      </c>
      <c r="D14" s="88">
        <v>191.56</v>
      </c>
      <c r="E14" s="88">
        <v>134.19999999999999</v>
      </c>
      <c r="F14" s="89">
        <v>122.4</v>
      </c>
    </row>
    <row r="15" spans="1:6" ht="15" thickBot="1" x14ac:dyDescent="0.35">
      <c r="A15" s="138"/>
      <c r="B15" s="90">
        <v>238.75</v>
      </c>
      <c r="C15" s="90">
        <v>162.6</v>
      </c>
      <c r="D15" s="90">
        <v>162.66</v>
      </c>
      <c r="E15" s="90">
        <v>144.6</v>
      </c>
      <c r="F15" s="91">
        <v>161.66</v>
      </c>
    </row>
    <row r="16" spans="1:6" x14ac:dyDescent="0.3">
      <c r="A16" s="133" t="s">
        <v>159</v>
      </c>
      <c r="B16" s="92">
        <v>151.46</v>
      </c>
      <c r="C16" s="92">
        <v>142.6</v>
      </c>
      <c r="D16" s="92">
        <v>145.21</v>
      </c>
      <c r="E16" s="92">
        <v>167.02</v>
      </c>
      <c r="F16" s="93">
        <v>89.69</v>
      </c>
    </row>
    <row r="17" spans="1:6" x14ac:dyDescent="0.3">
      <c r="A17" s="134"/>
      <c r="B17" s="88">
        <v>191.34</v>
      </c>
      <c r="C17" s="88">
        <v>132.88</v>
      </c>
      <c r="D17" s="88">
        <v>85.451999999999998</v>
      </c>
      <c r="E17" s="88">
        <v>78.926000000000002</v>
      </c>
      <c r="F17" s="89">
        <v>102.91</v>
      </c>
    </row>
    <row r="18" spans="1:6" x14ac:dyDescent="0.3">
      <c r="A18" s="134"/>
      <c r="B18" s="88">
        <v>206.05</v>
      </c>
      <c r="C18" s="88">
        <v>147.07</v>
      </c>
      <c r="D18" s="88">
        <v>79.944000000000003</v>
      </c>
      <c r="E18" s="88">
        <v>105.41</v>
      </c>
      <c r="F18" s="89">
        <v>71.849999999999994</v>
      </c>
    </row>
    <row r="19" spans="1:6" ht="15" thickBot="1" x14ac:dyDescent="0.35">
      <c r="A19" s="139"/>
      <c r="B19" s="90">
        <v>200.47</v>
      </c>
      <c r="C19" s="90">
        <v>162.78</v>
      </c>
      <c r="D19" s="90">
        <v>155.94</v>
      </c>
      <c r="E19" s="90">
        <v>98.75</v>
      </c>
      <c r="F19" s="91">
        <v>156.22</v>
      </c>
    </row>
    <row r="20" spans="1:6" x14ac:dyDescent="0.3">
      <c r="A20" s="136" t="s">
        <v>120</v>
      </c>
      <c r="B20" s="94">
        <v>319.22000000000003</v>
      </c>
      <c r="C20" s="94">
        <v>132.55000000000001</v>
      </c>
      <c r="D20" s="94">
        <v>136.56</v>
      </c>
      <c r="E20" s="94">
        <v>139.99</v>
      </c>
      <c r="F20" s="95">
        <v>58.764000000000003</v>
      </c>
    </row>
    <row r="21" spans="1:6" x14ac:dyDescent="0.3">
      <c r="A21" s="137"/>
      <c r="B21" s="5">
        <v>389.73</v>
      </c>
      <c r="C21" s="5">
        <v>103.21</v>
      </c>
      <c r="D21" s="5">
        <v>88.7</v>
      </c>
      <c r="E21" s="5">
        <v>90.399000000000001</v>
      </c>
      <c r="F21" s="96">
        <v>63.131</v>
      </c>
    </row>
    <row r="22" spans="1:6" x14ac:dyDescent="0.3">
      <c r="A22" s="137"/>
      <c r="B22" s="5">
        <v>295.62</v>
      </c>
      <c r="C22" s="5">
        <v>115.39</v>
      </c>
      <c r="D22" s="5">
        <v>92.69</v>
      </c>
      <c r="E22" s="5">
        <v>82.509</v>
      </c>
      <c r="F22" s="96">
        <v>91.686000000000007</v>
      </c>
    </row>
    <row r="23" spans="1:6" ht="15" thickBot="1" x14ac:dyDescent="0.35">
      <c r="A23" s="138"/>
      <c r="B23" s="97">
        <v>286</v>
      </c>
      <c r="C23" s="97">
        <v>104.19</v>
      </c>
      <c r="D23" s="97">
        <v>77.176000000000002</v>
      </c>
      <c r="E23" s="97">
        <v>58.07</v>
      </c>
      <c r="F23" s="98">
        <v>124.89</v>
      </c>
    </row>
    <row r="24" spans="1:6" x14ac:dyDescent="0.3">
      <c r="A24" s="136" t="s">
        <v>160</v>
      </c>
      <c r="B24" s="94">
        <v>371.89</v>
      </c>
      <c r="C24" s="94">
        <v>141.38999999999999</v>
      </c>
      <c r="D24" s="94">
        <v>164.22</v>
      </c>
      <c r="E24" s="94">
        <v>87.480999999999995</v>
      </c>
      <c r="F24" s="95">
        <v>124.27</v>
      </c>
    </row>
    <row r="25" spans="1:6" x14ac:dyDescent="0.3">
      <c r="A25" s="137"/>
      <c r="B25" s="5">
        <v>300.95</v>
      </c>
      <c r="C25" s="5">
        <v>154.6</v>
      </c>
      <c r="D25" s="5">
        <v>103.22</v>
      </c>
      <c r="E25" s="5">
        <v>96.432000000000002</v>
      </c>
      <c r="F25" s="96">
        <v>70.356999999999999</v>
      </c>
    </row>
    <row r="26" spans="1:6" x14ac:dyDescent="0.3">
      <c r="A26" s="137"/>
      <c r="B26" s="5">
        <v>314.88</v>
      </c>
      <c r="C26" s="5">
        <v>102.86</v>
      </c>
      <c r="D26" s="5">
        <v>130.88999999999999</v>
      </c>
      <c r="E26" s="5">
        <v>124.58</v>
      </c>
      <c r="F26" s="96">
        <v>118.83</v>
      </c>
    </row>
    <row r="27" spans="1:6" ht="15" thickBot="1" x14ac:dyDescent="0.35">
      <c r="A27" s="138"/>
      <c r="B27" s="97">
        <v>247.99</v>
      </c>
      <c r="C27" s="97">
        <v>147.69</v>
      </c>
      <c r="D27" s="97">
        <v>140.4</v>
      </c>
      <c r="E27" s="97">
        <v>99.18</v>
      </c>
      <c r="F27" s="98">
        <v>69.850999999999999</v>
      </c>
    </row>
    <row r="28" spans="1:6" x14ac:dyDescent="0.3">
      <c r="A28" s="136" t="s">
        <v>161</v>
      </c>
      <c r="B28" s="94">
        <v>300.2</v>
      </c>
      <c r="C28" s="94">
        <v>158.6</v>
      </c>
      <c r="D28" s="94">
        <v>131.51</v>
      </c>
      <c r="E28" s="94">
        <v>173.5</v>
      </c>
      <c r="F28" s="95">
        <v>151.69</v>
      </c>
    </row>
    <row r="29" spans="1:6" x14ac:dyDescent="0.3">
      <c r="A29" s="137"/>
      <c r="B29" s="5">
        <v>368.1</v>
      </c>
      <c r="C29" s="5">
        <v>242.6</v>
      </c>
      <c r="D29" s="5">
        <v>219.91</v>
      </c>
      <c r="E29" s="5">
        <v>185.2</v>
      </c>
      <c r="F29" s="96">
        <v>205.3</v>
      </c>
    </row>
    <row r="30" spans="1:6" x14ac:dyDescent="0.3">
      <c r="A30" s="137"/>
      <c r="B30" s="5">
        <v>304.5</v>
      </c>
      <c r="C30" s="5">
        <v>236.7</v>
      </c>
      <c r="D30" s="5">
        <v>139.37</v>
      </c>
      <c r="E30" s="5">
        <v>165.99</v>
      </c>
      <c r="F30" s="96">
        <v>138.46</v>
      </c>
    </row>
    <row r="31" spans="1:6" ht="15" thickBot="1" x14ac:dyDescent="0.35">
      <c r="A31" s="138"/>
      <c r="B31" s="97">
        <v>318.11</v>
      </c>
      <c r="C31" s="97">
        <v>193.69</v>
      </c>
      <c r="D31" s="97">
        <v>184.52</v>
      </c>
      <c r="E31" s="97">
        <v>126.1</v>
      </c>
      <c r="F31" s="98">
        <v>203.78</v>
      </c>
    </row>
    <row r="32" spans="1:6" x14ac:dyDescent="0.3">
      <c r="A32" s="133" t="s">
        <v>162</v>
      </c>
      <c r="B32" s="94">
        <v>302.58</v>
      </c>
      <c r="C32" s="94">
        <v>272.42</v>
      </c>
      <c r="D32" s="94">
        <v>165.09</v>
      </c>
      <c r="E32" s="94">
        <v>177.49</v>
      </c>
      <c r="F32" s="95">
        <v>220.77</v>
      </c>
    </row>
    <row r="33" spans="1:6" x14ac:dyDescent="0.3">
      <c r="A33" s="134"/>
      <c r="B33" s="5">
        <v>314.08999999999997</v>
      </c>
      <c r="C33" s="5">
        <v>204.55</v>
      </c>
      <c r="D33" s="5">
        <v>190.2</v>
      </c>
      <c r="E33" s="5">
        <v>122</v>
      </c>
      <c r="F33" s="96">
        <v>147.87</v>
      </c>
    </row>
    <row r="34" spans="1:6" x14ac:dyDescent="0.3">
      <c r="A34" s="134"/>
      <c r="B34" s="5">
        <v>322.07</v>
      </c>
      <c r="C34" s="5">
        <v>205.6</v>
      </c>
      <c r="D34" s="5">
        <v>116</v>
      </c>
      <c r="E34" s="5">
        <v>160.61000000000001</v>
      </c>
      <c r="F34" s="96">
        <v>187.22</v>
      </c>
    </row>
    <row r="35" spans="1:6" ht="15" thickBot="1" x14ac:dyDescent="0.35">
      <c r="A35" s="135"/>
      <c r="B35" s="99">
        <v>339.96</v>
      </c>
      <c r="C35" s="99">
        <v>261.36</v>
      </c>
      <c r="D35" s="99">
        <v>194.49</v>
      </c>
      <c r="E35" s="99">
        <v>196.39</v>
      </c>
      <c r="F35" s="100">
        <v>165.1</v>
      </c>
    </row>
  </sheetData>
  <mergeCells count="13">
    <mergeCell ref="A4:A7"/>
    <mergeCell ref="B2:B3"/>
    <mergeCell ref="C2:C3"/>
    <mergeCell ref="D2:D3"/>
    <mergeCell ref="E2:E3"/>
    <mergeCell ref="F2:F3"/>
    <mergeCell ref="A32:A35"/>
    <mergeCell ref="A8:A11"/>
    <mergeCell ref="A12:A15"/>
    <mergeCell ref="A16:A19"/>
    <mergeCell ref="A20:A23"/>
    <mergeCell ref="A24:A27"/>
    <mergeCell ref="A28:A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674F-3244-44E6-82B0-B9CFC20DFFE4}">
  <dimension ref="B2:T33"/>
  <sheetViews>
    <sheetView topLeftCell="E1" workbookViewId="0">
      <selection activeCell="U17" sqref="U17"/>
    </sheetView>
  </sheetViews>
  <sheetFormatPr defaultRowHeight="14.4" x14ac:dyDescent="0.3"/>
  <cols>
    <col min="2" max="2" width="18.5546875" bestFit="1" customWidth="1"/>
    <col min="3" max="3" width="8.88671875" customWidth="1"/>
    <col min="7" max="7" width="18.5546875" bestFit="1" customWidth="1"/>
    <col min="12" max="12" width="18.5546875" bestFit="1" customWidth="1"/>
    <col min="17" max="17" width="18.5546875" bestFit="1" customWidth="1"/>
  </cols>
  <sheetData>
    <row r="2" spans="2:20" x14ac:dyDescent="0.3">
      <c r="B2" s="116" t="s">
        <v>99</v>
      </c>
      <c r="C2" s="116"/>
      <c r="D2" s="26"/>
      <c r="E2" s="26"/>
      <c r="G2" s="116" t="s">
        <v>101</v>
      </c>
      <c r="H2" s="116"/>
      <c r="I2" s="26"/>
      <c r="J2" s="26"/>
      <c r="L2" s="116" t="s">
        <v>102</v>
      </c>
      <c r="M2" s="116"/>
      <c r="N2" s="26"/>
      <c r="O2" s="26"/>
      <c r="Q2" s="116" t="s">
        <v>103</v>
      </c>
      <c r="R2" s="150"/>
      <c r="S2" s="26"/>
      <c r="T2" s="26"/>
    </row>
    <row r="3" spans="2:20" x14ac:dyDescent="0.3">
      <c r="B3" s="26" t="s">
        <v>73</v>
      </c>
      <c r="C3" s="26" t="s">
        <v>100</v>
      </c>
      <c r="D3" s="26" t="s">
        <v>2</v>
      </c>
      <c r="E3" s="26" t="s">
        <v>3</v>
      </c>
      <c r="G3" s="26" t="s">
        <v>73</v>
      </c>
      <c r="H3" s="26" t="s">
        <v>100</v>
      </c>
      <c r="I3" s="26" t="s">
        <v>2</v>
      </c>
      <c r="J3" s="26" t="s">
        <v>3</v>
      </c>
      <c r="L3" s="26" t="s">
        <v>73</v>
      </c>
      <c r="M3" s="26" t="s">
        <v>100</v>
      </c>
      <c r="N3" s="26" t="s">
        <v>2</v>
      </c>
      <c r="O3" s="26" t="s">
        <v>3</v>
      </c>
      <c r="Q3" s="26" t="s">
        <v>73</v>
      </c>
      <c r="R3" s="26" t="s">
        <v>100</v>
      </c>
      <c r="S3" s="26" t="s">
        <v>2</v>
      </c>
      <c r="T3" s="26" t="s">
        <v>3</v>
      </c>
    </row>
    <row r="4" spans="2:20" x14ac:dyDescent="0.3">
      <c r="B4" s="25" t="s">
        <v>90</v>
      </c>
      <c r="C4" s="25">
        <v>100</v>
      </c>
      <c r="D4" s="151">
        <f>AVERAGE(C4:C7)</f>
        <v>100</v>
      </c>
      <c r="E4" s="151">
        <f>STDEV(C4:C7)</f>
        <v>0</v>
      </c>
      <c r="F4" s="24"/>
      <c r="G4" s="29" t="s">
        <v>90</v>
      </c>
      <c r="H4" s="29">
        <v>114.92</v>
      </c>
      <c r="I4" s="151">
        <f>AVERAGE(H4:H7)</f>
        <v>110.2625</v>
      </c>
      <c r="J4" s="151">
        <f>STDEV(H4:H7)</f>
        <v>6.358450413950453</v>
      </c>
      <c r="K4" s="24"/>
      <c r="L4" s="29" t="s">
        <v>90</v>
      </c>
      <c r="M4" s="29">
        <v>122.84</v>
      </c>
      <c r="N4" s="151">
        <f>AVERAGE(M4:M7)</f>
        <v>126.85</v>
      </c>
      <c r="O4" s="151">
        <f>STDEV(M4:M7)</f>
        <v>7.7830199794167267</v>
      </c>
      <c r="Q4" s="29" t="s">
        <v>90</v>
      </c>
      <c r="R4" s="29">
        <v>221.84</v>
      </c>
      <c r="S4" s="147">
        <f>AVERAGE(R4:R7)</f>
        <v>197.89350000000002</v>
      </c>
      <c r="T4" s="147">
        <f>STDEV(R4:R7)</f>
        <v>19.14844177298334</v>
      </c>
    </row>
    <row r="5" spans="2:20" x14ac:dyDescent="0.3">
      <c r="B5" s="25" t="s">
        <v>90</v>
      </c>
      <c r="C5" s="25">
        <v>100</v>
      </c>
      <c r="D5" s="151"/>
      <c r="E5" s="151"/>
      <c r="F5" s="24"/>
      <c r="G5" s="29" t="s">
        <v>90</v>
      </c>
      <c r="H5" s="29">
        <v>116.47</v>
      </c>
      <c r="I5" s="151"/>
      <c r="J5" s="151"/>
      <c r="K5" s="24"/>
      <c r="L5" s="29" t="s">
        <v>90</v>
      </c>
      <c r="M5" s="29">
        <v>121.75</v>
      </c>
      <c r="N5" s="151"/>
      <c r="O5" s="151"/>
      <c r="Q5" s="29" t="s">
        <v>90</v>
      </c>
      <c r="R5" s="29">
        <v>192.41</v>
      </c>
      <c r="S5" s="148"/>
      <c r="T5" s="148"/>
    </row>
    <row r="6" spans="2:20" x14ac:dyDescent="0.3">
      <c r="B6" s="25" t="s">
        <v>90</v>
      </c>
      <c r="C6" s="25">
        <v>100</v>
      </c>
      <c r="D6" s="151"/>
      <c r="E6" s="151"/>
      <c r="F6" s="24"/>
      <c r="G6" s="29" t="s">
        <v>90</v>
      </c>
      <c r="H6" s="29">
        <v>105.84</v>
      </c>
      <c r="I6" s="151"/>
      <c r="J6" s="151"/>
      <c r="K6" s="24"/>
      <c r="L6" s="29" t="s">
        <v>90</v>
      </c>
      <c r="M6" s="29">
        <v>124.4</v>
      </c>
      <c r="N6" s="151"/>
      <c r="O6" s="151"/>
      <c r="Q6" s="29" t="s">
        <v>90</v>
      </c>
      <c r="R6" s="29">
        <v>175.89400000000001</v>
      </c>
      <c r="S6" s="148"/>
      <c r="T6" s="148"/>
    </row>
    <row r="7" spans="2:20" x14ac:dyDescent="0.3">
      <c r="B7" s="25" t="s">
        <v>90</v>
      </c>
      <c r="C7" s="25">
        <v>100</v>
      </c>
      <c r="D7" s="151"/>
      <c r="E7" s="151"/>
      <c r="F7" s="24"/>
      <c r="G7" s="29" t="s">
        <v>90</v>
      </c>
      <c r="H7" s="29">
        <v>103.82</v>
      </c>
      <c r="I7" s="151"/>
      <c r="J7" s="151"/>
      <c r="K7" s="24"/>
      <c r="L7" s="29" t="s">
        <v>90</v>
      </c>
      <c r="M7" s="29">
        <v>138.41</v>
      </c>
      <c r="N7" s="151"/>
      <c r="O7" s="151"/>
      <c r="Q7" s="29" t="s">
        <v>90</v>
      </c>
      <c r="R7" s="29">
        <v>201.43</v>
      </c>
      <c r="S7" s="149"/>
      <c r="T7" s="149"/>
    </row>
    <row r="8" spans="2:20" x14ac:dyDescent="0.3">
      <c r="B8" s="25" t="s">
        <v>91</v>
      </c>
      <c r="C8" s="25">
        <v>68.42</v>
      </c>
      <c r="D8" s="151">
        <f>AVERAGE(C8:C11)</f>
        <v>71.55</v>
      </c>
      <c r="E8" s="151">
        <f>STDEV(C8:C11)</f>
        <v>5.9738485640888683</v>
      </c>
      <c r="F8" s="24"/>
      <c r="G8" s="29" t="s">
        <v>91</v>
      </c>
      <c r="H8" s="29">
        <v>72.45</v>
      </c>
      <c r="I8" s="151">
        <f>AVERAGE(H8:H11)</f>
        <v>79.355000000000004</v>
      </c>
      <c r="J8" s="151">
        <f>STDEV(H8:H11)</f>
        <v>5.7311168196085447</v>
      </c>
      <c r="K8" s="24"/>
      <c r="L8" s="29" t="s">
        <v>91</v>
      </c>
      <c r="M8" s="29">
        <v>95.52</v>
      </c>
      <c r="N8" s="151">
        <f>AVERAGE(M8:M11)</f>
        <v>93.3</v>
      </c>
      <c r="O8" s="151">
        <f>STDEV(M8:M11)</f>
        <v>2.5591535058817123</v>
      </c>
      <c r="Q8" s="29" t="s">
        <v>91</v>
      </c>
      <c r="R8" s="29">
        <v>109.48</v>
      </c>
      <c r="S8" s="147">
        <f>AVERAGE(R8:R11)</f>
        <v>122.1675</v>
      </c>
      <c r="T8" s="147">
        <f>STDEV(R8:R11)</f>
        <v>12.633641267135399</v>
      </c>
    </row>
    <row r="9" spans="2:20" x14ac:dyDescent="0.3">
      <c r="B9" s="25" t="s">
        <v>91</v>
      </c>
      <c r="C9" s="25">
        <v>72.489999999999995</v>
      </c>
      <c r="D9" s="151"/>
      <c r="E9" s="151"/>
      <c r="F9" s="24"/>
      <c r="G9" s="29" t="s">
        <v>91</v>
      </c>
      <c r="H9" s="29">
        <v>77.150000000000006</v>
      </c>
      <c r="I9" s="151"/>
      <c r="J9" s="151"/>
      <c r="K9" s="24"/>
      <c r="L9" s="29" t="s">
        <v>91</v>
      </c>
      <c r="M9" s="29">
        <v>94.75</v>
      </c>
      <c r="N9" s="151"/>
      <c r="O9" s="151"/>
      <c r="Q9" s="29" t="s">
        <v>91</v>
      </c>
      <c r="R9" s="29">
        <v>115.56</v>
      </c>
      <c r="S9" s="148"/>
      <c r="T9" s="148"/>
    </row>
    <row r="10" spans="2:20" x14ac:dyDescent="0.3">
      <c r="B10" s="25" t="s">
        <v>91</v>
      </c>
      <c r="C10" s="25">
        <v>79.5</v>
      </c>
      <c r="D10" s="151"/>
      <c r="E10" s="151"/>
      <c r="F10" s="24"/>
      <c r="G10" s="29" t="s">
        <v>91</v>
      </c>
      <c r="H10" s="29">
        <v>85.41</v>
      </c>
      <c r="I10" s="151"/>
      <c r="J10" s="151"/>
      <c r="K10" s="24"/>
      <c r="L10" s="29" t="s">
        <v>91</v>
      </c>
      <c r="M10" s="29">
        <v>93.18</v>
      </c>
      <c r="N10" s="151"/>
      <c r="O10" s="151"/>
      <c r="Q10" s="29" t="s">
        <v>91</v>
      </c>
      <c r="R10" s="29">
        <v>125.18</v>
      </c>
      <c r="S10" s="148"/>
      <c r="T10" s="148"/>
    </row>
    <row r="11" spans="2:20" x14ac:dyDescent="0.3">
      <c r="B11" s="25" t="s">
        <v>91</v>
      </c>
      <c r="C11" s="25">
        <v>65.790000000000006</v>
      </c>
      <c r="D11" s="151"/>
      <c r="E11" s="151"/>
      <c r="F11" s="24"/>
      <c r="G11" s="29" t="s">
        <v>91</v>
      </c>
      <c r="H11" s="29">
        <v>82.41</v>
      </c>
      <c r="I11" s="151"/>
      <c r="J11" s="151"/>
      <c r="K11" s="24"/>
      <c r="L11" s="29" t="s">
        <v>91</v>
      </c>
      <c r="M11" s="29">
        <v>89.75</v>
      </c>
      <c r="N11" s="151"/>
      <c r="O11" s="151"/>
      <c r="Q11" s="29" t="s">
        <v>91</v>
      </c>
      <c r="R11" s="29">
        <v>138.44999999999999</v>
      </c>
      <c r="S11" s="149"/>
      <c r="T11" s="149"/>
    </row>
    <row r="12" spans="2:20" x14ac:dyDescent="0.3">
      <c r="B12" s="25" t="s">
        <v>92</v>
      </c>
      <c r="C12" s="25">
        <v>68.430000000000007</v>
      </c>
      <c r="D12" s="147">
        <f>AVERAGE(C12:C14)</f>
        <v>71.843333333333334</v>
      </c>
      <c r="E12" s="147">
        <f>STDEV(C12:C14)</f>
        <v>3.1540661586804624</v>
      </c>
      <c r="F12" s="24"/>
      <c r="G12" s="29" t="s">
        <v>92</v>
      </c>
      <c r="H12" s="29">
        <v>85.46</v>
      </c>
      <c r="I12" s="147">
        <f>AVERAGE(H12:H14)</f>
        <v>81.91</v>
      </c>
      <c r="J12" s="147">
        <f>STDEV(H12:H14)</f>
        <v>3.1476181471074267</v>
      </c>
      <c r="K12" s="24"/>
      <c r="L12" s="29" t="s">
        <v>92</v>
      </c>
      <c r="M12" s="29">
        <v>95.12</v>
      </c>
      <c r="N12" s="147">
        <f>AVERAGE(M12:M14)</f>
        <v>97.443333333333342</v>
      </c>
      <c r="O12" s="147">
        <f>STDEV(M12:M14)</f>
        <v>2.7097293837823222</v>
      </c>
      <c r="Q12" s="29" t="s">
        <v>92</v>
      </c>
      <c r="R12" s="29">
        <v>129.75</v>
      </c>
      <c r="S12" s="147">
        <f>AVERAGE(R12:R14)</f>
        <v>132.25333333333333</v>
      </c>
      <c r="T12" s="147">
        <f>STDEV(R12:R14)</f>
        <v>2.9461896295610948</v>
      </c>
    </row>
    <row r="13" spans="2:20" x14ac:dyDescent="0.3">
      <c r="B13" s="25" t="s">
        <v>92</v>
      </c>
      <c r="C13" s="25">
        <v>72.45</v>
      </c>
      <c r="D13" s="148"/>
      <c r="E13" s="148"/>
      <c r="F13" s="24"/>
      <c r="G13" s="29" t="s">
        <v>92</v>
      </c>
      <c r="H13" s="29">
        <v>79.459999999999994</v>
      </c>
      <c r="I13" s="148"/>
      <c r="J13" s="148"/>
      <c r="K13" s="24"/>
      <c r="L13" s="29" t="s">
        <v>92</v>
      </c>
      <c r="M13" s="29">
        <v>96.79</v>
      </c>
      <c r="N13" s="148"/>
      <c r="O13" s="148"/>
      <c r="Q13" s="29" t="s">
        <v>92</v>
      </c>
      <c r="R13" s="29">
        <v>131.51</v>
      </c>
      <c r="S13" s="148"/>
      <c r="T13" s="148"/>
    </row>
    <row r="14" spans="2:20" x14ac:dyDescent="0.3">
      <c r="B14" s="25" t="s">
        <v>92</v>
      </c>
      <c r="C14" s="25">
        <v>74.650000000000006</v>
      </c>
      <c r="D14" s="149"/>
      <c r="E14" s="149"/>
      <c r="F14" s="24"/>
      <c r="G14" s="29" t="s">
        <v>92</v>
      </c>
      <c r="H14" s="29">
        <v>80.81</v>
      </c>
      <c r="I14" s="149"/>
      <c r="J14" s="149"/>
      <c r="K14" s="24"/>
      <c r="L14" s="29" t="s">
        <v>92</v>
      </c>
      <c r="M14" s="29">
        <v>100.42</v>
      </c>
      <c r="N14" s="149"/>
      <c r="O14" s="149"/>
      <c r="Q14" s="29" t="s">
        <v>92</v>
      </c>
      <c r="R14" s="29">
        <v>135.5</v>
      </c>
      <c r="S14" s="149"/>
      <c r="T14" s="149"/>
    </row>
    <row r="15" spans="2:20" x14ac:dyDescent="0.3">
      <c r="B15" s="25" t="s">
        <v>93</v>
      </c>
      <c r="C15" s="25">
        <v>80.349999999999994</v>
      </c>
      <c r="D15" s="147">
        <f>AVERAGE(C15:C17)</f>
        <v>78.28</v>
      </c>
      <c r="E15" s="147">
        <f>STDEV(C15:C17)</f>
        <v>2.399520785490298</v>
      </c>
      <c r="F15" s="24"/>
      <c r="G15" s="29" t="s">
        <v>93</v>
      </c>
      <c r="H15" s="29">
        <v>86.41</v>
      </c>
      <c r="I15" s="147">
        <f>AVERAGE(H15:H17)</f>
        <v>87.603333333333339</v>
      </c>
      <c r="J15" s="147">
        <f>STDEV(H15:H17)</f>
        <v>2.5123959348266203</v>
      </c>
      <c r="K15" s="24"/>
      <c r="L15" s="29" t="s">
        <v>93</v>
      </c>
      <c r="M15" s="29">
        <v>112.84</v>
      </c>
      <c r="N15" s="147">
        <f t="shared" ref="N15" si="0">AVERAGE(M15:M17)</f>
        <v>109.31333333333333</v>
      </c>
      <c r="O15" s="147">
        <f t="shared" ref="O15" si="1">STDEV(M15:M17)</f>
        <v>3.4340840603184613</v>
      </c>
      <c r="Q15" s="29" t="s">
        <v>93</v>
      </c>
      <c r="R15" s="29">
        <v>135.87</v>
      </c>
      <c r="S15" s="147">
        <f t="shared" ref="S15" si="2">AVERAGE(R15:R17)</f>
        <v>136.86666666666665</v>
      </c>
      <c r="T15" s="147">
        <f t="shared" ref="T15" si="3">STDEV(R15:R17)</f>
        <v>4.6360579518954745</v>
      </c>
    </row>
    <row r="16" spans="2:20" x14ac:dyDescent="0.3">
      <c r="B16" s="25" t="s">
        <v>93</v>
      </c>
      <c r="C16" s="25">
        <v>75.650000000000006</v>
      </c>
      <c r="D16" s="148"/>
      <c r="E16" s="148"/>
      <c r="F16" s="24"/>
      <c r="G16" s="29" t="s">
        <v>93</v>
      </c>
      <c r="H16" s="29">
        <v>85.91</v>
      </c>
      <c r="I16" s="148"/>
      <c r="J16" s="148"/>
      <c r="K16" s="24"/>
      <c r="L16" s="29" t="s">
        <v>93</v>
      </c>
      <c r="M16" s="29">
        <v>105.98</v>
      </c>
      <c r="N16" s="148"/>
      <c r="O16" s="148"/>
      <c r="Q16" s="29" t="s">
        <v>93</v>
      </c>
      <c r="R16" s="29">
        <v>141.91999999999999</v>
      </c>
      <c r="S16" s="148"/>
      <c r="T16" s="148"/>
    </row>
    <row r="17" spans="2:20" x14ac:dyDescent="0.3">
      <c r="B17" s="25" t="s">
        <v>93</v>
      </c>
      <c r="C17" s="25">
        <v>78.84</v>
      </c>
      <c r="D17" s="149"/>
      <c r="E17" s="149"/>
      <c r="F17" s="24"/>
      <c r="G17" s="29" t="s">
        <v>93</v>
      </c>
      <c r="H17" s="29">
        <v>90.49</v>
      </c>
      <c r="I17" s="149"/>
      <c r="J17" s="149"/>
      <c r="K17" s="24"/>
      <c r="L17" s="29" t="s">
        <v>93</v>
      </c>
      <c r="M17" s="29">
        <v>109.12</v>
      </c>
      <c r="N17" s="149"/>
      <c r="O17" s="149"/>
      <c r="Q17" s="29" t="s">
        <v>93</v>
      </c>
      <c r="R17" s="29">
        <v>132.81</v>
      </c>
      <c r="S17" s="149"/>
      <c r="T17" s="149"/>
    </row>
    <row r="18" spans="2:20" x14ac:dyDescent="0.3">
      <c r="B18" s="25" t="s">
        <v>94</v>
      </c>
      <c r="C18" s="25">
        <v>80.25</v>
      </c>
      <c r="D18" s="147">
        <f>AVERAGE(C18:C20)</f>
        <v>77.89</v>
      </c>
      <c r="E18" s="147">
        <f t="shared" ref="E18" si="4">STDEV(C18:C20)</f>
        <v>2.3853930493736226</v>
      </c>
      <c r="F18" s="24"/>
      <c r="G18" s="29" t="s">
        <v>94</v>
      </c>
      <c r="H18" s="29">
        <v>90.71</v>
      </c>
      <c r="I18" s="147">
        <f>AVERAGE(H18:H20)</f>
        <v>90.75</v>
      </c>
      <c r="J18" s="147">
        <f t="shared" ref="J18" si="5">STDEV(H18:H20)</f>
        <v>1.6403658128600469</v>
      </c>
      <c r="K18" s="24"/>
      <c r="L18" s="29" t="s">
        <v>94</v>
      </c>
      <c r="M18" s="29">
        <v>115.15</v>
      </c>
      <c r="N18" s="147">
        <f t="shared" ref="N18" si="6">AVERAGE(M18:M20)</f>
        <v>115.29433333333334</v>
      </c>
      <c r="O18" s="147">
        <f t="shared" ref="O18" si="7">STDEV(M18:M20)</f>
        <v>2.759332588386791</v>
      </c>
      <c r="Q18" s="29" t="s">
        <v>94</v>
      </c>
      <c r="R18" s="29">
        <v>175.89</v>
      </c>
      <c r="S18" s="147">
        <f t="shared" ref="S18" si="8">AVERAGE(R18:R20)</f>
        <v>182.97</v>
      </c>
      <c r="T18" s="147">
        <f t="shared" ref="T18" si="9">STDEV(R18:R20)</f>
        <v>6.6756572710108584</v>
      </c>
    </row>
    <row r="19" spans="2:20" x14ac:dyDescent="0.3">
      <c r="B19" s="25" t="s">
        <v>94</v>
      </c>
      <c r="C19" s="25">
        <v>75.48</v>
      </c>
      <c r="D19" s="148"/>
      <c r="E19" s="148"/>
      <c r="F19" s="24"/>
      <c r="G19" s="29" t="s">
        <v>94</v>
      </c>
      <c r="H19" s="29">
        <v>89.13</v>
      </c>
      <c r="I19" s="148"/>
      <c r="J19" s="148"/>
      <c r="K19" s="24"/>
      <c r="L19" s="29" t="s">
        <v>94</v>
      </c>
      <c r="M19" s="29">
        <v>118.123</v>
      </c>
      <c r="N19" s="148"/>
      <c r="O19" s="148"/>
      <c r="Q19" s="29" t="s">
        <v>94</v>
      </c>
      <c r="R19" s="29">
        <v>189.15</v>
      </c>
      <c r="S19" s="148"/>
      <c r="T19" s="148"/>
    </row>
    <row r="20" spans="2:20" x14ac:dyDescent="0.3">
      <c r="B20" s="25" t="s">
        <v>94</v>
      </c>
      <c r="C20" s="25">
        <v>77.94</v>
      </c>
      <c r="D20" s="149"/>
      <c r="E20" s="149"/>
      <c r="F20" s="24"/>
      <c r="G20" s="29" t="s">
        <v>94</v>
      </c>
      <c r="H20" s="29">
        <v>92.41</v>
      </c>
      <c r="I20" s="149"/>
      <c r="J20" s="149"/>
      <c r="K20" s="24"/>
      <c r="L20" s="29" t="s">
        <v>94</v>
      </c>
      <c r="M20" s="29">
        <v>112.61</v>
      </c>
      <c r="N20" s="149"/>
      <c r="O20" s="149"/>
      <c r="Q20" s="29" t="s">
        <v>94</v>
      </c>
      <c r="R20" s="29">
        <v>183.87</v>
      </c>
      <c r="S20" s="149"/>
      <c r="T20" s="149"/>
    </row>
    <row r="21" spans="2:20" x14ac:dyDescent="0.3">
      <c r="B21" s="25" t="s">
        <v>95</v>
      </c>
      <c r="C21" s="25">
        <v>65.94</v>
      </c>
      <c r="D21" s="151">
        <f>AVERAGE(C21:C24)</f>
        <v>68.66</v>
      </c>
      <c r="E21" s="151">
        <f>STDEV(C21:C24)</f>
        <v>2.0140837453624765</v>
      </c>
      <c r="F21" s="24"/>
      <c r="G21" s="29" t="s">
        <v>95</v>
      </c>
      <c r="H21" s="29">
        <v>86.91</v>
      </c>
      <c r="I21" s="151">
        <f>AVERAGE(H21:H24)</f>
        <v>86.227499999999992</v>
      </c>
      <c r="J21" s="151">
        <f>STDEV(H21:H24)</f>
        <v>4.5102651437212273</v>
      </c>
      <c r="K21" s="24"/>
      <c r="L21" s="29" t="s">
        <v>95</v>
      </c>
      <c r="M21" s="29">
        <v>95.45</v>
      </c>
      <c r="N21" s="151">
        <f>AVERAGE(M21:M24)</f>
        <v>97.975000000000009</v>
      </c>
      <c r="O21" s="151">
        <f>STDEV(M21:M24)</f>
        <v>1.6967714440469965</v>
      </c>
      <c r="Q21" s="29" t="s">
        <v>95</v>
      </c>
      <c r="R21" s="29">
        <v>146.13999999999999</v>
      </c>
      <c r="S21" s="147">
        <f>AVERAGE(R21:R24)</f>
        <v>145.69499999999999</v>
      </c>
      <c r="T21" s="147">
        <f>STDEV(R21:R24)</f>
        <v>31.804880652713312</v>
      </c>
    </row>
    <row r="22" spans="2:20" x14ac:dyDescent="0.3">
      <c r="B22" s="25" t="s">
        <v>95</v>
      </c>
      <c r="C22" s="25">
        <v>69.180000000000007</v>
      </c>
      <c r="D22" s="151"/>
      <c r="E22" s="151"/>
      <c r="F22" s="24"/>
      <c r="G22" s="29" t="s">
        <v>95</v>
      </c>
      <c r="H22" s="29">
        <v>90.12</v>
      </c>
      <c r="I22" s="151"/>
      <c r="J22" s="151"/>
      <c r="K22" s="24"/>
      <c r="L22" s="29" t="s">
        <v>95</v>
      </c>
      <c r="M22" s="29">
        <v>98.73</v>
      </c>
      <c r="N22" s="151"/>
      <c r="O22" s="151"/>
      <c r="Q22" s="29" t="s">
        <v>95</v>
      </c>
      <c r="R22" s="29">
        <v>135.49</v>
      </c>
      <c r="S22" s="148"/>
      <c r="T22" s="148"/>
    </row>
    <row r="23" spans="2:20" x14ac:dyDescent="0.3">
      <c r="B23" s="25" t="s">
        <v>95</v>
      </c>
      <c r="C23" s="25">
        <v>68.739999999999995</v>
      </c>
      <c r="D23" s="151"/>
      <c r="E23" s="151"/>
      <c r="F23" s="24"/>
      <c r="G23" s="29" t="s">
        <v>95</v>
      </c>
      <c r="H23" s="29">
        <v>88.12</v>
      </c>
      <c r="I23" s="151"/>
      <c r="J23" s="151"/>
      <c r="K23" s="24"/>
      <c r="L23" s="29" t="s">
        <v>95</v>
      </c>
      <c r="M23" s="29">
        <v>99.11</v>
      </c>
      <c r="N23" s="151"/>
      <c r="O23" s="151"/>
      <c r="Q23" s="29" t="s">
        <v>95</v>
      </c>
      <c r="R23" s="29">
        <v>112.61</v>
      </c>
      <c r="S23" s="148"/>
      <c r="T23" s="148"/>
    </row>
    <row r="24" spans="2:20" x14ac:dyDescent="0.3">
      <c r="B24" s="25" t="s">
        <v>95</v>
      </c>
      <c r="C24" s="25">
        <v>70.78</v>
      </c>
      <c r="D24" s="151"/>
      <c r="E24" s="151"/>
      <c r="F24" s="24"/>
      <c r="G24" s="29" t="s">
        <v>95</v>
      </c>
      <c r="H24" s="29">
        <v>79.760000000000005</v>
      </c>
      <c r="I24" s="151"/>
      <c r="J24" s="151"/>
      <c r="K24" s="24"/>
      <c r="L24" s="29" t="s">
        <v>95</v>
      </c>
      <c r="M24" s="29">
        <v>98.61</v>
      </c>
      <c r="N24" s="151"/>
      <c r="O24" s="151"/>
      <c r="Q24" s="29" t="s">
        <v>95</v>
      </c>
      <c r="R24" s="29">
        <v>188.54</v>
      </c>
      <c r="S24" s="149"/>
      <c r="T24" s="149"/>
    </row>
    <row r="25" spans="2:20" x14ac:dyDescent="0.3">
      <c r="B25" s="25" t="s">
        <v>96</v>
      </c>
      <c r="C25" s="25">
        <v>72.739999999999995</v>
      </c>
      <c r="D25" s="147">
        <f>AVERAGE(C25:C27)</f>
        <v>76.820000000000007</v>
      </c>
      <c r="E25" s="147">
        <f>STDEV(C25:C27)</f>
        <v>4.5837975522485754</v>
      </c>
      <c r="F25" s="24"/>
      <c r="G25" s="29" t="s">
        <v>96</v>
      </c>
      <c r="H25" s="29">
        <v>90.41</v>
      </c>
      <c r="I25" s="147">
        <f>AVERAGE(H25:H27)</f>
        <v>91.913333333333341</v>
      </c>
      <c r="J25" s="147">
        <f>STDEV(H25:H27)</f>
        <v>1.3179656040023728</v>
      </c>
      <c r="K25" s="24"/>
      <c r="L25" s="29" t="s">
        <v>96</v>
      </c>
      <c r="M25" s="29">
        <v>104.94</v>
      </c>
      <c r="N25" s="147">
        <f>AVERAGE(M25:M27)</f>
        <v>107.07333333333334</v>
      </c>
      <c r="O25" s="147">
        <f>STDEV(M25:M27)</f>
        <v>2.2476061339419195</v>
      </c>
      <c r="Q25" s="29" t="s">
        <v>96</v>
      </c>
      <c r="R25" s="29">
        <v>131.87</v>
      </c>
      <c r="S25" s="147">
        <f>AVERAGE(R25:R27)</f>
        <v>140.1</v>
      </c>
      <c r="T25" s="147">
        <f>STDEV(R25:R27)</f>
        <v>8.5734998687817026</v>
      </c>
    </row>
    <row r="26" spans="2:20" x14ac:dyDescent="0.3">
      <c r="B26" s="25" t="s">
        <v>96</v>
      </c>
      <c r="C26" s="25">
        <v>75.94</v>
      </c>
      <c r="D26" s="148"/>
      <c r="E26" s="148"/>
      <c r="F26" s="24"/>
      <c r="G26" s="29" t="s">
        <v>96</v>
      </c>
      <c r="H26" s="29">
        <v>92.46</v>
      </c>
      <c r="I26" s="148"/>
      <c r="J26" s="148"/>
      <c r="K26" s="24"/>
      <c r="L26" s="29" t="s">
        <v>96</v>
      </c>
      <c r="M26" s="29">
        <v>109.42</v>
      </c>
      <c r="N26" s="148"/>
      <c r="O26" s="148"/>
      <c r="Q26" s="29" t="s">
        <v>96</v>
      </c>
      <c r="R26" s="29">
        <v>148.97999999999999</v>
      </c>
      <c r="S26" s="148"/>
      <c r="T26" s="148"/>
    </row>
    <row r="27" spans="2:20" x14ac:dyDescent="0.3">
      <c r="B27" s="25" t="s">
        <v>96</v>
      </c>
      <c r="C27" s="25">
        <v>81.78</v>
      </c>
      <c r="D27" s="149"/>
      <c r="E27" s="149"/>
      <c r="F27" s="24"/>
      <c r="G27" s="29" t="s">
        <v>96</v>
      </c>
      <c r="H27" s="29">
        <v>92.87</v>
      </c>
      <c r="I27" s="149"/>
      <c r="J27" s="149"/>
      <c r="K27" s="24"/>
      <c r="L27" s="29" t="s">
        <v>96</v>
      </c>
      <c r="M27" s="29">
        <v>106.86</v>
      </c>
      <c r="N27" s="149"/>
      <c r="O27" s="149"/>
      <c r="Q27" s="29" t="s">
        <v>96</v>
      </c>
      <c r="R27" s="29">
        <v>139.44999999999999</v>
      </c>
      <c r="S27" s="149"/>
      <c r="T27" s="149"/>
    </row>
    <row r="28" spans="2:20" x14ac:dyDescent="0.3">
      <c r="B28" s="25" t="s">
        <v>97</v>
      </c>
      <c r="C28" s="25">
        <v>81.84</v>
      </c>
      <c r="D28" s="147">
        <f>AVERAGE(C28:C30)</f>
        <v>84.713333333333338</v>
      </c>
      <c r="E28" s="147">
        <f>STDEV(C28:C30)</f>
        <v>2.5063984785610849</v>
      </c>
      <c r="F28" s="24"/>
      <c r="G28" s="29" t="s">
        <v>97</v>
      </c>
      <c r="H28" s="29">
        <v>98.456000000000003</v>
      </c>
      <c r="I28" s="147">
        <f>AVERAGE(H28:H30)</f>
        <v>98.25200000000001</v>
      </c>
      <c r="J28" s="147">
        <f>STDEV(H28:H30)</f>
        <v>1.045041625965206</v>
      </c>
      <c r="K28" s="24"/>
      <c r="L28" s="29" t="s">
        <v>97</v>
      </c>
      <c r="M28" s="29">
        <v>118.79</v>
      </c>
      <c r="N28" s="147">
        <f>AVERAGE(M28:M30)</f>
        <v>126.67999999999999</v>
      </c>
      <c r="O28" s="147">
        <f>STDEV(M28:M30)</f>
        <v>8.0284058193392287</v>
      </c>
      <c r="Q28" s="29" t="s">
        <v>97</v>
      </c>
      <c r="R28" s="29">
        <v>210.91</v>
      </c>
      <c r="S28" s="147">
        <f>AVERAGE(R28:R30)</f>
        <v>197.57666666666668</v>
      </c>
      <c r="T28" s="147">
        <f>STDEV(R28:R30)</f>
        <v>11.593745440250675</v>
      </c>
    </row>
    <row r="29" spans="2:20" x14ac:dyDescent="0.3">
      <c r="B29" s="25" t="s">
        <v>97</v>
      </c>
      <c r="C29" s="25">
        <v>86.45</v>
      </c>
      <c r="D29" s="148"/>
      <c r="E29" s="148"/>
      <c r="F29" s="24"/>
      <c r="G29" s="29" t="s">
        <v>97</v>
      </c>
      <c r="H29" s="29">
        <v>97.12</v>
      </c>
      <c r="I29" s="148"/>
      <c r="J29" s="148"/>
      <c r="K29" s="24"/>
      <c r="L29" s="29" t="s">
        <v>97</v>
      </c>
      <c r="M29" s="29">
        <v>126.41</v>
      </c>
      <c r="N29" s="148"/>
      <c r="O29" s="148"/>
      <c r="Q29" s="29" t="s">
        <v>97</v>
      </c>
      <c r="R29" s="29">
        <v>189.87</v>
      </c>
      <c r="S29" s="148"/>
      <c r="T29" s="148"/>
    </row>
    <row r="30" spans="2:20" x14ac:dyDescent="0.3">
      <c r="B30" s="25" t="s">
        <v>97</v>
      </c>
      <c r="C30" s="25">
        <v>85.85</v>
      </c>
      <c r="D30" s="149"/>
      <c r="E30" s="149"/>
      <c r="F30" s="24"/>
      <c r="G30" s="29" t="s">
        <v>97</v>
      </c>
      <c r="H30" s="29">
        <v>99.18</v>
      </c>
      <c r="I30" s="149"/>
      <c r="J30" s="149"/>
      <c r="K30" s="24"/>
      <c r="L30" s="29" t="s">
        <v>97</v>
      </c>
      <c r="M30" s="29">
        <v>134.84</v>
      </c>
      <c r="N30" s="149"/>
      <c r="O30" s="149"/>
      <c r="Q30" s="29" t="s">
        <v>97</v>
      </c>
      <c r="R30" s="29">
        <v>191.95</v>
      </c>
      <c r="S30" s="149"/>
      <c r="T30" s="149"/>
    </row>
    <row r="31" spans="2:20" x14ac:dyDescent="0.3">
      <c r="B31" s="25" t="s">
        <v>98</v>
      </c>
      <c r="C31" s="25">
        <v>84.87</v>
      </c>
      <c r="D31" s="147">
        <f>AVERAGE(C31:C33)</f>
        <v>86.48</v>
      </c>
      <c r="E31" s="147">
        <f>STDEV(C31:C33)</f>
        <v>3.707195705651376</v>
      </c>
      <c r="F31" s="24"/>
      <c r="G31" s="29" t="s">
        <v>98</v>
      </c>
      <c r="H31" s="29">
        <v>99.91</v>
      </c>
      <c r="I31" s="147">
        <f>AVERAGE(H31:H33)</f>
        <v>102.53333333333332</v>
      </c>
      <c r="J31" s="147">
        <f>STDEV(H31:H33)</f>
        <v>3.097165370679027</v>
      </c>
      <c r="K31" s="24"/>
      <c r="L31" s="29" t="s">
        <v>98</v>
      </c>
      <c r="M31" s="29">
        <v>141.51</v>
      </c>
      <c r="N31" s="147">
        <f>AVERAGE(M31:M33)</f>
        <v>144.12666666666667</v>
      </c>
      <c r="O31" s="147">
        <f>STDEV(M31:M33)</f>
        <v>6.3902921164320254</v>
      </c>
      <c r="Q31" s="29" t="s">
        <v>98</v>
      </c>
      <c r="R31" s="29">
        <v>268.65100000000001</v>
      </c>
      <c r="S31" s="147">
        <f>AVERAGE(R31:R33)</f>
        <v>258.14433333333335</v>
      </c>
      <c r="T31" s="147">
        <f>STDEV(R31:R33)</f>
        <v>12.832651103078165</v>
      </c>
    </row>
    <row r="32" spans="2:20" x14ac:dyDescent="0.3">
      <c r="B32" s="25" t="s">
        <v>98</v>
      </c>
      <c r="C32" s="25">
        <v>90.72</v>
      </c>
      <c r="D32" s="148"/>
      <c r="E32" s="148"/>
      <c r="F32" s="24"/>
      <c r="G32" s="29" t="s">
        <v>98</v>
      </c>
      <c r="H32" s="29">
        <v>101.74</v>
      </c>
      <c r="I32" s="148"/>
      <c r="J32" s="148"/>
      <c r="K32" s="24"/>
      <c r="L32" s="29" t="s">
        <v>98</v>
      </c>
      <c r="M32" s="29">
        <v>139.46</v>
      </c>
      <c r="N32" s="148"/>
      <c r="O32" s="148"/>
      <c r="Q32" s="29" t="s">
        <v>98</v>
      </c>
      <c r="R32" s="29">
        <v>243.84200000000001</v>
      </c>
      <c r="S32" s="148"/>
      <c r="T32" s="148"/>
    </row>
    <row r="33" spans="2:20" x14ac:dyDescent="0.3">
      <c r="B33" s="25" t="s">
        <v>98</v>
      </c>
      <c r="C33" s="25">
        <v>83.85</v>
      </c>
      <c r="D33" s="149"/>
      <c r="E33" s="149"/>
      <c r="F33" s="24"/>
      <c r="G33" s="29" t="s">
        <v>98</v>
      </c>
      <c r="H33" s="29">
        <v>105.95</v>
      </c>
      <c r="I33" s="149"/>
      <c r="J33" s="149"/>
      <c r="K33" s="24"/>
      <c r="L33" s="29" t="s">
        <v>98</v>
      </c>
      <c r="M33" s="29">
        <v>151.41</v>
      </c>
      <c r="N33" s="149"/>
      <c r="O33" s="149"/>
      <c r="Q33" s="29" t="s">
        <v>98</v>
      </c>
      <c r="R33" s="29">
        <v>261.94</v>
      </c>
      <c r="S33" s="149"/>
      <c r="T33" s="149"/>
    </row>
  </sheetData>
  <mergeCells count="76">
    <mergeCell ref="B2:C2"/>
    <mergeCell ref="D4:D7"/>
    <mergeCell ref="E4:E7"/>
    <mergeCell ref="D8:D11"/>
    <mergeCell ref="D12:D14"/>
    <mergeCell ref="E12:E14"/>
    <mergeCell ref="E8:E11"/>
    <mergeCell ref="D31:D33"/>
    <mergeCell ref="E31:E33"/>
    <mergeCell ref="D15:D17"/>
    <mergeCell ref="E15:E17"/>
    <mergeCell ref="D18:D20"/>
    <mergeCell ref="E18:E20"/>
    <mergeCell ref="D21:D24"/>
    <mergeCell ref="E21:E24"/>
    <mergeCell ref="I12:I14"/>
    <mergeCell ref="J12:J14"/>
    <mergeCell ref="D25:D27"/>
    <mergeCell ref="E25:E27"/>
    <mergeCell ref="D28:D30"/>
    <mergeCell ref="E28:E30"/>
    <mergeCell ref="G2:H2"/>
    <mergeCell ref="I4:I7"/>
    <mergeCell ref="J4:J7"/>
    <mergeCell ref="I8:I11"/>
    <mergeCell ref="J8:J11"/>
    <mergeCell ref="I15:I17"/>
    <mergeCell ref="J15:J17"/>
    <mergeCell ref="I18:I20"/>
    <mergeCell ref="J18:J20"/>
    <mergeCell ref="I21:I24"/>
    <mergeCell ref="J21:J24"/>
    <mergeCell ref="I25:I27"/>
    <mergeCell ref="J25:J27"/>
    <mergeCell ref="I28:I30"/>
    <mergeCell ref="J28:J30"/>
    <mergeCell ref="I31:I33"/>
    <mergeCell ref="J31:J33"/>
    <mergeCell ref="L2:M2"/>
    <mergeCell ref="N4:N7"/>
    <mergeCell ref="O4:O7"/>
    <mergeCell ref="N8:N11"/>
    <mergeCell ref="O8:O11"/>
    <mergeCell ref="N31:N33"/>
    <mergeCell ref="O31:O33"/>
    <mergeCell ref="N15:N17"/>
    <mergeCell ref="O15:O17"/>
    <mergeCell ref="N18:N20"/>
    <mergeCell ref="O18:O20"/>
    <mergeCell ref="N21:N24"/>
    <mergeCell ref="O21:O24"/>
    <mergeCell ref="S12:S14"/>
    <mergeCell ref="T12:T14"/>
    <mergeCell ref="N25:N27"/>
    <mergeCell ref="O25:O27"/>
    <mergeCell ref="N28:N30"/>
    <mergeCell ref="O28:O30"/>
    <mergeCell ref="N12:N14"/>
    <mergeCell ref="O12:O14"/>
    <mergeCell ref="Q2:R2"/>
    <mergeCell ref="S4:S7"/>
    <mergeCell ref="T4:T7"/>
    <mergeCell ref="S8:S11"/>
    <mergeCell ref="T8:T11"/>
    <mergeCell ref="S15:S17"/>
    <mergeCell ref="T15:T17"/>
    <mergeCell ref="S18:S20"/>
    <mergeCell ref="T18:T20"/>
    <mergeCell ref="S21:S24"/>
    <mergeCell ref="T21:T24"/>
    <mergeCell ref="S25:S27"/>
    <mergeCell ref="T25:T27"/>
    <mergeCell ref="S28:S30"/>
    <mergeCell ref="T28:T30"/>
    <mergeCell ref="S31:S33"/>
    <mergeCell ref="T31:T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836C-3200-4FA9-A3F2-B74DF1FB043C}">
  <dimension ref="A1:J15"/>
  <sheetViews>
    <sheetView workbookViewId="0">
      <selection activeCell="F39" sqref="F39"/>
    </sheetView>
  </sheetViews>
  <sheetFormatPr defaultRowHeight="14.4" x14ac:dyDescent="0.3"/>
  <cols>
    <col min="2" max="2" width="12" bestFit="1" customWidth="1"/>
    <col min="3" max="6" width="15.6640625" bestFit="1" customWidth="1"/>
    <col min="7" max="8" width="14.109375" bestFit="1" customWidth="1"/>
    <col min="9" max="10" width="15.6640625" bestFit="1" customWidth="1"/>
  </cols>
  <sheetData>
    <row r="1" spans="1:10" x14ac:dyDescent="0.3">
      <c r="A1" s="25"/>
      <c r="B1" s="122" t="s">
        <v>88</v>
      </c>
      <c r="C1" s="122"/>
      <c r="D1" s="122"/>
      <c r="E1" s="122"/>
      <c r="F1" s="122"/>
      <c r="G1" s="122"/>
      <c r="H1" s="122"/>
      <c r="I1" s="122"/>
      <c r="J1" s="122"/>
    </row>
    <row r="2" spans="1:10" x14ac:dyDescent="0.3">
      <c r="A2" s="26" t="s">
        <v>73</v>
      </c>
      <c r="B2" s="26" t="s">
        <v>23</v>
      </c>
      <c r="C2" s="26" t="s">
        <v>14</v>
      </c>
      <c r="D2" s="26" t="s">
        <v>15</v>
      </c>
      <c r="E2" s="26" t="s">
        <v>16</v>
      </c>
      <c r="F2" s="26" t="s">
        <v>17</v>
      </c>
      <c r="G2" s="26" t="s">
        <v>18</v>
      </c>
      <c r="H2" s="26" t="s">
        <v>19</v>
      </c>
      <c r="I2" s="26" t="s">
        <v>20</v>
      </c>
      <c r="J2" s="26" t="s">
        <v>21</v>
      </c>
    </row>
    <row r="3" spans="1:10" x14ac:dyDescent="0.3">
      <c r="A3" s="110"/>
      <c r="B3" s="29">
        <v>2458392.679</v>
      </c>
      <c r="C3" s="29">
        <v>2300669.5070000002</v>
      </c>
      <c r="D3" s="29">
        <v>2284527.8369999998</v>
      </c>
      <c r="E3" s="29">
        <v>1312146.3829999999</v>
      </c>
      <c r="F3" s="29">
        <v>1306127.362</v>
      </c>
      <c r="G3" s="29">
        <v>1383325.3219999999</v>
      </c>
      <c r="H3" s="29">
        <v>1180294.2180000001</v>
      </c>
      <c r="I3" s="29">
        <v>1701550.9709999999</v>
      </c>
      <c r="J3" s="29">
        <v>1265976.872</v>
      </c>
    </row>
    <row r="4" spans="1:10" x14ac:dyDescent="0.3">
      <c r="A4" s="111"/>
      <c r="B4" s="29">
        <v>2384972.9410000001</v>
      </c>
      <c r="C4" s="29">
        <v>2392854.8420000002</v>
      </c>
      <c r="D4" s="29">
        <v>2143674.6540000001</v>
      </c>
      <c r="E4" s="29">
        <v>1516752.4790000001</v>
      </c>
      <c r="F4" s="29">
        <v>1431257.5160000001</v>
      </c>
      <c r="G4" s="29">
        <v>1487624.987</v>
      </c>
      <c r="H4" s="29">
        <v>1241368.642</v>
      </c>
      <c r="I4" s="29">
        <v>1423489.578</v>
      </c>
      <c r="J4" s="29">
        <v>1087419.6470000001</v>
      </c>
    </row>
    <row r="5" spans="1:10" x14ac:dyDescent="0.3">
      <c r="A5" s="112"/>
      <c r="B5" s="29">
        <v>2481394.824</v>
      </c>
      <c r="C5" s="29">
        <v>2345094.3450000002</v>
      </c>
      <c r="D5" s="29">
        <v>2201753.1490000002</v>
      </c>
      <c r="E5" s="29">
        <v>1354687.173</v>
      </c>
      <c r="F5" s="29">
        <v>1294236.649</v>
      </c>
      <c r="G5" s="29">
        <v>1559121.247</v>
      </c>
      <c r="H5" s="29">
        <v>1212391.7150000001</v>
      </c>
      <c r="I5" s="29">
        <v>1385638.618</v>
      </c>
      <c r="J5" s="29">
        <v>1241268.8740000001</v>
      </c>
    </row>
    <row r="6" spans="1:10" x14ac:dyDescent="0.3">
      <c r="A6" s="30" t="s">
        <v>22</v>
      </c>
      <c r="B6" s="32">
        <f>AVERAGE(B3:B5)</f>
        <v>2441586.8146666666</v>
      </c>
      <c r="C6" s="32">
        <f t="shared" ref="C6:J6" si="0">AVERAGE(C3:C5)</f>
        <v>2346206.2313333335</v>
      </c>
      <c r="D6" s="32">
        <f t="shared" si="0"/>
        <v>2209985.2133333334</v>
      </c>
      <c r="E6" s="32">
        <f t="shared" si="0"/>
        <v>1394528.6783333332</v>
      </c>
      <c r="F6" s="32">
        <f t="shared" si="0"/>
        <v>1343873.8423333333</v>
      </c>
      <c r="G6" s="32">
        <f t="shared" si="0"/>
        <v>1476690.5186666667</v>
      </c>
      <c r="H6" s="32">
        <f t="shared" si="0"/>
        <v>1211351.5250000001</v>
      </c>
      <c r="I6" s="32">
        <f t="shared" si="0"/>
        <v>1503559.7223333332</v>
      </c>
      <c r="J6" s="32">
        <f t="shared" si="0"/>
        <v>1198221.7976666668</v>
      </c>
    </row>
    <row r="7" spans="1:10" x14ac:dyDescent="0.3">
      <c r="A7" s="30" t="s">
        <v>3</v>
      </c>
      <c r="B7" s="32">
        <f>STDEV(B3:B5)</f>
        <v>50359.931367201258</v>
      </c>
      <c r="C7" s="32">
        <f t="shared" ref="C7:J7" si="1">STDEV(C3:C5)</f>
        <v>46102.724601472793</v>
      </c>
      <c r="D7" s="32">
        <f t="shared" si="1"/>
        <v>70786.50968015696</v>
      </c>
      <c r="E7" s="32">
        <f t="shared" si="1"/>
        <v>107964.91462743738</v>
      </c>
      <c r="F7" s="32">
        <f t="shared" si="1"/>
        <v>75909.663953438561</v>
      </c>
      <c r="G7" s="32">
        <f t="shared" si="1"/>
        <v>88406.582107617491</v>
      </c>
      <c r="H7" s="32">
        <f t="shared" si="1"/>
        <v>30550.49611970345</v>
      </c>
      <c r="I7" s="32">
        <f t="shared" si="1"/>
        <v>172506.73814280343</v>
      </c>
      <c r="J7" s="32">
        <f t="shared" si="1"/>
        <v>96749.463748183189</v>
      </c>
    </row>
    <row r="9" spans="1:10" x14ac:dyDescent="0.3">
      <c r="A9" s="25"/>
      <c r="B9" s="122" t="s">
        <v>89</v>
      </c>
      <c r="C9" s="122"/>
      <c r="D9" s="122"/>
      <c r="E9" s="122"/>
      <c r="F9" s="122"/>
      <c r="G9" s="122"/>
      <c r="H9" s="122"/>
      <c r="I9" s="122"/>
      <c r="J9" s="122"/>
    </row>
    <row r="10" spans="1:10" x14ac:dyDescent="0.3">
      <c r="A10" s="26" t="s">
        <v>73</v>
      </c>
      <c r="B10" s="26" t="s">
        <v>23</v>
      </c>
      <c r="C10" s="26" t="s">
        <v>14</v>
      </c>
      <c r="D10" s="26" t="s">
        <v>15</v>
      </c>
      <c r="E10" s="26" t="s">
        <v>16</v>
      </c>
      <c r="F10" s="26" t="s">
        <v>17</v>
      </c>
      <c r="G10" s="26" t="s">
        <v>18</v>
      </c>
      <c r="H10" s="26" t="s">
        <v>19</v>
      </c>
      <c r="I10" s="26" t="s">
        <v>20</v>
      </c>
      <c r="J10" s="26" t="s">
        <v>21</v>
      </c>
    </row>
    <row r="11" spans="1:10" x14ac:dyDescent="0.3">
      <c r="A11" s="110"/>
      <c r="B11" s="29">
        <v>220</v>
      </c>
      <c r="C11" s="29">
        <v>214.08</v>
      </c>
      <c r="D11" s="29">
        <v>330.56</v>
      </c>
      <c r="E11" s="29">
        <v>155.52000000000001</v>
      </c>
      <c r="F11" s="29">
        <v>259.68</v>
      </c>
      <c r="G11" s="29">
        <v>169.44</v>
      </c>
      <c r="H11" s="29">
        <v>234.24</v>
      </c>
      <c r="I11" s="29">
        <v>195.84</v>
      </c>
      <c r="J11" s="29">
        <v>299.36</v>
      </c>
    </row>
    <row r="12" spans="1:10" x14ac:dyDescent="0.3">
      <c r="A12" s="111"/>
      <c r="B12" s="29">
        <v>210.93799999999999</v>
      </c>
      <c r="C12" s="29">
        <v>246.28</v>
      </c>
      <c r="D12" s="29">
        <v>307.56</v>
      </c>
      <c r="E12" s="29">
        <v>158.82</v>
      </c>
      <c r="F12" s="29">
        <v>270.77999999999997</v>
      </c>
      <c r="G12" s="29">
        <v>167.78</v>
      </c>
      <c r="H12" s="29">
        <v>243.92</v>
      </c>
      <c r="I12" s="29">
        <v>185.38</v>
      </c>
      <c r="J12" s="29">
        <v>235.88</v>
      </c>
    </row>
    <row r="13" spans="1:10" x14ac:dyDescent="0.3">
      <c r="A13" s="112"/>
      <c r="B13" s="29">
        <v>233.08199999999999</v>
      </c>
      <c r="C13" s="29">
        <v>225.68</v>
      </c>
      <c r="D13" s="29">
        <v>343.22</v>
      </c>
      <c r="E13" s="29">
        <v>166.82</v>
      </c>
      <c r="F13" s="29">
        <v>232.98</v>
      </c>
      <c r="G13" s="29">
        <v>181.82</v>
      </c>
      <c r="H13" s="29">
        <v>241.88</v>
      </c>
      <c r="I13" s="29">
        <v>181.26</v>
      </c>
      <c r="J13" s="29">
        <v>253.88</v>
      </c>
    </row>
    <row r="14" spans="1:10" x14ac:dyDescent="0.3">
      <c r="A14" s="30" t="s">
        <v>22</v>
      </c>
      <c r="B14" s="32">
        <f>AVERAGE(B11:B13)</f>
        <v>221.34</v>
      </c>
      <c r="C14" s="32">
        <f t="shared" ref="C14" si="2">AVERAGE(C11:C13)</f>
        <v>228.67999999999998</v>
      </c>
      <c r="D14" s="32">
        <f t="shared" ref="D14" si="3">AVERAGE(D11:D13)</f>
        <v>327.11333333333334</v>
      </c>
      <c r="E14" s="32">
        <f t="shared" ref="E14" si="4">AVERAGE(E11:E13)</f>
        <v>160.38666666666668</v>
      </c>
      <c r="F14" s="32">
        <f t="shared" ref="F14" si="5">AVERAGE(F11:F13)</f>
        <v>254.48000000000002</v>
      </c>
      <c r="G14" s="32">
        <f t="shared" ref="G14" si="6">AVERAGE(G11:G13)</f>
        <v>173.01333333333332</v>
      </c>
      <c r="H14" s="32">
        <f t="shared" ref="H14" si="7">AVERAGE(H11:H13)</f>
        <v>240.01333333333332</v>
      </c>
      <c r="I14" s="32">
        <f t="shared" ref="I14" si="8">AVERAGE(I11:I13)</f>
        <v>187.49333333333334</v>
      </c>
      <c r="J14" s="32">
        <f t="shared" ref="J14" si="9">AVERAGE(J11:J13)</f>
        <v>263.04000000000002</v>
      </c>
    </row>
    <row r="15" spans="1:10" x14ac:dyDescent="0.3">
      <c r="A15" s="30" t="s">
        <v>3</v>
      </c>
      <c r="B15" s="32">
        <f>STDEV(B11:B13)</f>
        <v>11.132649460034212</v>
      </c>
      <c r="C15" s="32">
        <f t="shared" ref="C15:J15" si="10">STDEV(C11:C13)</f>
        <v>16.308280105516946</v>
      </c>
      <c r="D15" s="32">
        <f t="shared" si="10"/>
        <v>18.078123058916646</v>
      </c>
      <c r="E15" s="32">
        <f t="shared" si="10"/>
        <v>5.8106224566162661</v>
      </c>
      <c r="F15" s="32">
        <f t="shared" si="10"/>
        <v>19.429101883514839</v>
      </c>
      <c r="G15" s="32">
        <f t="shared" si="10"/>
        <v>7.6718272486633374</v>
      </c>
      <c r="H15" s="32">
        <f t="shared" si="10"/>
        <v>5.1028358128920059</v>
      </c>
      <c r="I15" s="32">
        <f t="shared" si="10"/>
        <v>7.5162313251611295</v>
      </c>
      <c r="J15" s="32">
        <f t="shared" si="10"/>
        <v>32.716307860148412</v>
      </c>
    </row>
  </sheetData>
  <mergeCells count="4">
    <mergeCell ref="B1:J1"/>
    <mergeCell ref="A3:A5"/>
    <mergeCell ref="B9:J9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62AD-5BE7-4F49-B742-BA63C03E376F}">
  <dimension ref="A1:J7"/>
  <sheetViews>
    <sheetView workbookViewId="0">
      <selection activeCell="B1" sqref="B1:I1"/>
    </sheetView>
  </sheetViews>
  <sheetFormatPr defaultRowHeight="14.4" x14ac:dyDescent="0.3"/>
  <cols>
    <col min="2" max="5" width="17" bestFit="1" customWidth="1"/>
    <col min="6" max="7" width="15.44140625" bestFit="1" customWidth="1"/>
    <col min="8" max="9" width="17" bestFit="1" customWidth="1"/>
  </cols>
  <sheetData>
    <row r="1" spans="1:10" x14ac:dyDescent="0.3">
      <c r="B1" s="109" t="s">
        <v>13</v>
      </c>
      <c r="C1" s="109"/>
      <c r="D1" s="109"/>
      <c r="E1" s="109"/>
      <c r="F1" s="109"/>
      <c r="G1" s="109"/>
      <c r="H1" s="109"/>
      <c r="I1" s="109"/>
    </row>
    <row r="2" spans="1:10" x14ac:dyDescent="0.3">
      <c r="A2" s="26" t="s">
        <v>73</v>
      </c>
      <c r="B2" s="44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</row>
    <row r="3" spans="1:10" x14ac:dyDescent="0.3">
      <c r="A3" s="110"/>
      <c r="B3" s="45">
        <v>4.5574000000000003</v>
      </c>
      <c r="C3" s="8">
        <v>6.0909399999999998</v>
      </c>
      <c r="D3" s="8">
        <v>9.7456999999999994</v>
      </c>
      <c r="E3" s="8">
        <v>16.396000000000001</v>
      </c>
      <c r="F3" s="8">
        <v>29.744</v>
      </c>
      <c r="G3" s="8">
        <v>16.093</v>
      </c>
      <c r="H3" s="8">
        <v>37.914999999999999</v>
      </c>
      <c r="I3" s="8">
        <v>83.51</v>
      </c>
    </row>
    <row r="4" spans="1:10" x14ac:dyDescent="0.3">
      <c r="A4" s="111"/>
      <c r="B4" s="45">
        <v>6.2518000000000002</v>
      </c>
      <c r="C4" s="8">
        <v>9.1582500000000007</v>
      </c>
      <c r="D4" s="8">
        <v>17.4254</v>
      </c>
      <c r="E4" s="8">
        <v>14.157999999999999</v>
      </c>
      <c r="F4" s="8">
        <v>22.742999999999999</v>
      </c>
      <c r="G4" s="8">
        <v>28.123999999999999</v>
      </c>
      <c r="H4" s="8">
        <v>52.14</v>
      </c>
      <c r="I4" s="8">
        <v>74.69</v>
      </c>
    </row>
    <row r="5" spans="1:10" x14ac:dyDescent="0.3">
      <c r="A5" s="112"/>
      <c r="B5" s="45">
        <v>7.2611999999999997</v>
      </c>
      <c r="C5" s="8">
        <v>15.69412</v>
      </c>
      <c r="D5" s="8">
        <v>5.2329999999999997</v>
      </c>
      <c r="E5" s="8">
        <v>25.254000000000001</v>
      </c>
      <c r="F5" s="8">
        <v>19.274999999999999</v>
      </c>
      <c r="G5" s="8">
        <v>46.570999999999998</v>
      </c>
      <c r="H5" s="8">
        <v>64.569999999999993</v>
      </c>
      <c r="I5" s="9">
        <v>96.21</v>
      </c>
    </row>
    <row r="6" spans="1:10" x14ac:dyDescent="0.3">
      <c r="A6" s="26" t="s">
        <v>22</v>
      </c>
      <c r="B6" s="10">
        <f>AVERAGE(B3:B5)</f>
        <v>6.0234666666666667</v>
      </c>
      <c r="C6" s="10">
        <f t="shared" ref="C6:I6" si="0">AVERAGE(C3:C5)</f>
        <v>10.314436666666667</v>
      </c>
      <c r="D6" s="10">
        <f t="shared" si="0"/>
        <v>10.801366666666667</v>
      </c>
      <c r="E6" s="10">
        <f t="shared" si="0"/>
        <v>18.602666666666668</v>
      </c>
      <c r="F6" s="10">
        <f t="shared" si="0"/>
        <v>23.920666666666666</v>
      </c>
      <c r="G6" s="10">
        <f t="shared" si="0"/>
        <v>30.262666666666664</v>
      </c>
      <c r="H6" s="14">
        <f t="shared" si="0"/>
        <v>51.541666666666664</v>
      </c>
      <c r="I6" s="13">
        <f t="shared" si="0"/>
        <v>84.803333333333327</v>
      </c>
      <c r="J6" s="16"/>
    </row>
    <row r="7" spans="1:10" x14ac:dyDescent="0.3">
      <c r="A7" s="26" t="s">
        <v>3</v>
      </c>
      <c r="B7" s="12">
        <f>STDEV(B3:B5)</f>
        <v>1.3662853630678107</v>
      </c>
      <c r="C7" s="12">
        <f t="shared" ref="C7:I7" si="1">STDEV(C3:C5)</f>
        <v>4.9048794311617216</v>
      </c>
      <c r="D7" s="12">
        <f t="shared" si="1"/>
        <v>6.1643717054808835</v>
      </c>
      <c r="E7" s="12">
        <f t="shared" si="1"/>
        <v>5.8679074066768724</v>
      </c>
      <c r="F7" s="12">
        <f t="shared" si="1"/>
        <v>5.3329320578208383</v>
      </c>
      <c r="G7" s="12">
        <f t="shared" si="1"/>
        <v>15.351141401646112</v>
      </c>
      <c r="H7" s="15">
        <f t="shared" si="1"/>
        <v>13.33756943124693</v>
      </c>
      <c r="I7" s="13">
        <f t="shared" si="1"/>
        <v>10.818139088278347</v>
      </c>
      <c r="J7" s="16"/>
    </row>
  </sheetData>
  <mergeCells count="2">
    <mergeCell ref="B1:I1"/>
    <mergeCell ref="A3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3B66-6BAA-4707-A0BD-EFD3C19D31B5}">
  <dimension ref="A1:J10"/>
  <sheetViews>
    <sheetView workbookViewId="0">
      <selection activeCell="A9" sqref="A9:A10"/>
    </sheetView>
  </sheetViews>
  <sheetFormatPr defaultRowHeight="14.4" x14ac:dyDescent="0.3"/>
  <cols>
    <col min="2" max="2" width="12.44140625" bestFit="1" customWidth="1"/>
    <col min="3" max="6" width="17" bestFit="1" customWidth="1"/>
    <col min="7" max="8" width="15.44140625" bestFit="1" customWidth="1"/>
    <col min="9" max="10" width="17" bestFit="1" customWidth="1"/>
  </cols>
  <sheetData>
    <row r="1" spans="1:10" x14ac:dyDescent="0.3">
      <c r="A1" s="116" t="s">
        <v>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46" t="s">
        <v>73</v>
      </c>
      <c r="B2" s="47" t="s">
        <v>23</v>
      </c>
      <c r="C2" s="47" t="s">
        <v>14</v>
      </c>
      <c r="D2" s="47" t="s">
        <v>15</v>
      </c>
      <c r="E2" s="47" t="s">
        <v>16</v>
      </c>
      <c r="F2" s="47" t="s">
        <v>17</v>
      </c>
      <c r="G2" s="47" t="s">
        <v>18</v>
      </c>
      <c r="H2" s="47" t="s">
        <v>19</v>
      </c>
      <c r="I2" s="47" t="s">
        <v>20</v>
      </c>
      <c r="J2" s="47" t="s">
        <v>21</v>
      </c>
    </row>
    <row r="3" spans="1:10" x14ac:dyDescent="0.3">
      <c r="A3" s="113"/>
      <c r="B3" s="42">
        <v>53.790999999999997</v>
      </c>
      <c r="C3" s="42">
        <v>50.813000000000002</v>
      </c>
      <c r="D3" s="42">
        <v>36.857999999999997</v>
      </c>
      <c r="E3" s="42">
        <v>51.548000000000002</v>
      </c>
      <c r="F3" s="42">
        <v>45.399000000000001</v>
      </c>
      <c r="G3" s="42">
        <v>63.134999999999998</v>
      </c>
      <c r="H3" s="42">
        <v>36.871000000000002</v>
      </c>
      <c r="I3" s="42">
        <v>36.527000000000001</v>
      </c>
      <c r="J3" s="42">
        <v>29.541</v>
      </c>
    </row>
    <row r="4" spans="1:10" x14ac:dyDescent="0.3">
      <c r="A4" s="114"/>
      <c r="B4" s="42">
        <v>58.494</v>
      </c>
      <c r="C4" s="42">
        <v>55.973999999999997</v>
      </c>
      <c r="D4" s="42">
        <v>32.954000000000001</v>
      </c>
      <c r="E4" s="42">
        <v>48.651000000000003</v>
      </c>
      <c r="F4" s="42">
        <v>41.689</v>
      </c>
      <c r="G4" s="42">
        <v>62.942</v>
      </c>
      <c r="H4" s="42">
        <v>35.941000000000003</v>
      </c>
      <c r="I4" s="42">
        <v>35.488</v>
      </c>
      <c r="J4" s="42">
        <v>31.971</v>
      </c>
    </row>
    <row r="5" spans="1:10" x14ac:dyDescent="0.3">
      <c r="A5" s="114"/>
      <c r="B5" s="42">
        <v>55.411999999999999</v>
      </c>
      <c r="C5" s="42">
        <v>63.871000000000002</v>
      </c>
      <c r="D5" s="42">
        <v>45.484000000000002</v>
      </c>
      <c r="E5" s="42">
        <v>53.417999999999999</v>
      </c>
      <c r="F5" s="42">
        <v>38.642000000000003</v>
      </c>
      <c r="G5" s="42">
        <v>51.856000000000002</v>
      </c>
      <c r="H5" s="42">
        <v>33.908000000000001</v>
      </c>
      <c r="I5" s="42">
        <v>38.840000000000003</v>
      </c>
      <c r="J5" s="42">
        <v>32.762</v>
      </c>
    </row>
    <row r="6" spans="1:10" x14ac:dyDescent="0.3">
      <c r="A6" s="114"/>
      <c r="B6" s="42">
        <v>47.591000000000001</v>
      </c>
      <c r="C6" s="42">
        <v>60.27</v>
      </c>
      <c r="D6" s="42">
        <v>43.276000000000003</v>
      </c>
      <c r="E6" s="42">
        <v>65.158000000000001</v>
      </c>
      <c r="F6" s="42">
        <v>32.518000000000001</v>
      </c>
      <c r="G6" s="42">
        <v>44.597000000000001</v>
      </c>
      <c r="H6" s="42">
        <v>30.916</v>
      </c>
      <c r="I6" s="42">
        <v>42.081299999999999</v>
      </c>
      <c r="J6" s="42">
        <v>28.198</v>
      </c>
    </row>
    <row r="7" spans="1:10" x14ac:dyDescent="0.3">
      <c r="A7" s="114"/>
      <c r="B7" s="42">
        <v>52.945999999999998</v>
      </c>
      <c r="C7" s="42">
        <v>58.640999999999998</v>
      </c>
      <c r="D7" s="42">
        <v>47.616</v>
      </c>
      <c r="E7" s="42">
        <v>63.792000000000002</v>
      </c>
      <c r="F7" s="42">
        <v>39.183999999999997</v>
      </c>
      <c r="G7" s="42">
        <v>49.484000000000002</v>
      </c>
      <c r="H7" s="42">
        <v>28.620999999999999</v>
      </c>
      <c r="I7" s="42">
        <v>35.683999999999997</v>
      </c>
      <c r="J7" s="42">
        <v>26.942</v>
      </c>
    </row>
    <row r="8" spans="1:10" x14ac:dyDescent="0.3">
      <c r="A8" s="115"/>
      <c r="B8" s="43">
        <v>59.875</v>
      </c>
      <c r="C8" s="43">
        <v>57.973999999999997</v>
      </c>
      <c r="D8" s="43">
        <v>46.816000000000003</v>
      </c>
      <c r="E8" s="43">
        <v>59.554000000000002</v>
      </c>
      <c r="F8" s="43">
        <v>37.497999999999998</v>
      </c>
      <c r="G8" s="43">
        <v>57.621000000000002</v>
      </c>
      <c r="H8" s="43">
        <v>32.908999999999999</v>
      </c>
      <c r="I8" s="43">
        <v>36.412999999999997</v>
      </c>
      <c r="J8" s="43">
        <v>29.091000000000001</v>
      </c>
    </row>
    <row r="9" spans="1:10" x14ac:dyDescent="0.3">
      <c r="A9" s="41" t="s">
        <v>22</v>
      </c>
      <c r="B9" s="10">
        <f>AVERAGE(B3:B8)</f>
        <v>54.684833333333337</v>
      </c>
      <c r="C9" s="11">
        <f t="shared" ref="C9:J9" si="0">AVERAGE(C3:C8)</f>
        <v>57.923833333333334</v>
      </c>
      <c r="D9" s="11">
        <f t="shared" si="0"/>
        <v>42.167333333333332</v>
      </c>
      <c r="E9" s="11">
        <f t="shared" si="0"/>
        <v>57.020166666666661</v>
      </c>
      <c r="F9" s="11">
        <f t="shared" si="0"/>
        <v>39.154999999999994</v>
      </c>
      <c r="G9" s="11">
        <f t="shared" si="0"/>
        <v>54.939166666666665</v>
      </c>
      <c r="H9" s="11">
        <f t="shared" si="0"/>
        <v>33.19433333333334</v>
      </c>
      <c r="I9" s="11">
        <f t="shared" si="0"/>
        <v>37.505549999999999</v>
      </c>
      <c r="J9" s="11">
        <f t="shared" si="0"/>
        <v>29.750833333333336</v>
      </c>
    </row>
    <row r="10" spans="1:10" x14ac:dyDescent="0.3">
      <c r="A10" s="41" t="s">
        <v>3</v>
      </c>
      <c r="B10" s="12">
        <f>STDEV(B3:B8)</f>
        <v>4.3845479318473259</v>
      </c>
      <c r="C10" s="13">
        <f t="shared" ref="C10:J10" si="1">STDEV(C3:C8)</f>
        <v>4.3762069154310641</v>
      </c>
      <c r="D10" s="13">
        <f t="shared" si="1"/>
        <v>5.9430971947854605</v>
      </c>
      <c r="E10" s="13">
        <f t="shared" si="1"/>
        <v>6.8039037740599415</v>
      </c>
      <c r="F10" s="13">
        <f t="shared" si="1"/>
        <v>4.300421374702716</v>
      </c>
      <c r="G10" s="13">
        <f t="shared" si="1"/>
        <v>7.5449907466256594</v>
      </c>
      <c r="H10" s="13">
        <f t="shared" si="1"/>
        <v>3.0905977199672359</v>
      </c>
      <c r="I10" s="13">
        <f t="shared" si="1"/>
        <v>2.5400009005903921</v>
      </c>
      <c r="J10" s="13">
        <f t="shared" si="1"/>
        <v>2.2260508005583941</v>
      </c>
    </row>
  </sheetData>
  <mergeCells count="2">
    <mergeCell ref="A3:A8"/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B835-EF07-4D70-B890-DEFFD260FCD6}">
  <dimension ref="B1:V35"/>
  <sheetViews>
    <sheetView topLeftCell="E1" workbookViewId="0">
      <selection activeCell="N18" sqref="N18"/>
    </sheetView>
  </sheetViews>
  <sheetFormatPr defaultRowHeight="14.4" x14ac:dyDescent="0.3"/>
  <cols>
    <col min="1" max="3" width="8.88671875" style="24"/>
    <col min="4" max="4" width="12.33203125" style="24" customWidth="1"/>
    <col min="5" max="5" width="33.21875" style="24" customWidth="1"/>
    <col min="6" max="16384" width="8.88671875" style="24"/>
  </cols>
  <sheetData>
    <row r="1" spans="2:22" x14ac:dyDescent="0.3">
      <c r="B1" s="117" t="s">
        <v>23</v>
      </c>
      <c r="C1" s="118"/>
      <c r="D1" s="118"/>
      <c r="E1" s="33" t="s">
        <v>30</v>
      </c>
      <c r="F1" s="22" t="s">
        <v>27</v>
      </c>
      <c r="G1" s="22" t="s">
        <v>28</v>
      </c>
      <c r="H1" s="22" t="s">
        <v>29</v>
      </c>
      <c r="I1" s="22" t="s">
        <v>39</v>
      </c>
      <c r="J1" s="22" t="s">
        <v>40</v>
      </c>
      <c r="K1" s="22" t="s">
        <v>41</v>
      </c>
      <c r="L1" s="22" t="s">
        <v>42</v>
      </c>
      <c r="M1" s="22" t="s">
        <v>43</v>
      </c>
      <c r="N1" s="22" t="s">
        <v>44</v>
      </c>
      <c r="O1" s="22" t="s">
        <v>45</v>
      </c>
      <c r="P1" s="22" t="s">
        <v>46</v>
      </c>
      <c r="Q1" s="22" t="s">
        <v>47</v>
      </c>
      <c r="R1" s="22" t="s">
        <v>48</v>
      </c>
      <c r="S1" s="22" t="s">
        <v>49</v>
      </c>
      <c r="T1" s="22" t="s">
        <v>50</v>
      </c>
      <c r="U1" s="22" t="s">
        <v>2</v>
      </c>
      <c r="V1" s="22" t="s">
        <v>3</v>
      </c>
    </row>
    <row r="2" spans="2:22" x14ac:dyDescent="0.3">
      <c r="B2" s="118"/>
      <c r="C2" s="118"/>
      <c r="D2" s="118"/>
      <c r="E2" s="34" t="s">
        <v>25</v>
      </c>
      <c r="F2" s="24">
        <f>0.1081/0.0435</f>
        <v>2.4850574712643678</v>
      </c>
      <c r="G2" s="24">
        <f>0.1688/0.0648</f>
        <v>2.6049382716049383</v>
      </c>
      <c r="H2" s="24">
        <f>0.0749/0.0314</f>
        <v>2.3853503184713376</v>
      </c>
      <c r="I2" s="24">
        <f>0.0926/0.0389</f>
        <v>2.3804627249357329</v>
      </c>
      <c r="J2" s="24">
        <f>0.1985/0.0616</f>
        <v>3.2224025974025974</v>
      </c>
      <c r="K2" s="24">
        <f>0.0881/0.0359</f>
        <v>2.4540389972144845</v>
      </c>
      <c r="L2" s="24">
        <f>0.3093/0.0953</f>
        <v>3.2455403987408187</v>
      </c>
      <c r="M2" s="24">
        <f>0.2883/0.0939</f>
        <v>3.0702875399361025</v>
      </c>
      <c r="N2" s="24">
        <f>0.2774/0.0944</f>
        <v>2.9385593220338984</v>
      </c>
      <c r="O2" s="24">
        <f>0.1828/0.073</f>
        <v>2.504109589041096</v>
      </c>
      <c r="P2" s="24">
        <f>0.1947/0.0792</f>
        <v>2.4583333333333335</v>
      </c>
      <c r="Q2" s="24">
        <f>0.2502/0.0946</f>
        <v>2.6448202959830862</v>
      </c>
      <c r="R2" s="24">
        <f>0.2803/0.0917</f>
        <v>3.0567066521264992</v>
      </c>
      <c r="S2" s="24">
        <f>0.2631/0.0868</f>
        <v>3.0311059907834101</v>
      </c>
      <c r="T2" s="24">
        <f>0.2648/0.0893</f>
        <v>2.9652855543113099</v>
      </c>
      <c r="U2" s="35">
        <f>AVERAGE(F2:T2)</f>
        <v>2.7631332704788676</v>
      </c>
      <c r="V2" s="35">
        <f>STDEV(F2:T2)</f>
        <v>0.3194487734384574</v>
      </c>
    </row>
    <row r="3" spans="2:22" x14ac:dyDescent="0.3">
      <c r="B3" s="118"/>
      <c r="C3" s="118"/>
      <c r="D3" s="118"/>
      <c r="E3" s="36" t="s">
        <v>26</v>
      </c>
      <c r="F3" s="24">
        <f>0.0584/0.0571</f>
        <v>1.0227670753064799</v>
      </c>
      <c r="G3" s="24">
        <f>0.0894/0.0889</f>
        <v>1.0056242969628795</v>
      </c>
      <c r="H3" s="24">
        <f>0.0427/0.0437</f>
        <v>0.97711670480549195</v>
      </c>
      <c r="I3" s="24">
        <f>0.0642/0.0629</f>
        <v>1.0206677265500794</v>
      </c>
      <c r="J3" s="24">
        <f>0.1214/0.1185</f>
        <v>1.0244725738396625</v>
      </c>
      <c r="K3" s="24">
        <f>0.062/0.064</f>
        <v>0.96875</v>
      </c>
      <c r="L3" s="24">
        <f>0.1352/0.137</f>
        <v>0.98686131386861298</v>
      </c>
      <c r="M3" s="24">
        <f>0.1251/0.1295</f>
        <v>0.96602316602316596</v>
      </c>
      <c r="N3" s="24">
        <f>0.1212/0.1272</f>
        <v>0.95283018867924529</v>
      </c>
      <c r="O3" s="24">
        <f>0.1185/0.117</f>
        <v>1.0128205128205128</v>
      </c>
      <c r="P3" s="24">
        <f>0.1188/0.1175</f>
        <v>1.0110638297872341</v>
      </c>
      <c r="Q3" s="24">
        <f>0.1678/0.1687</f>
        <v>0.99466508595139314</v>
      </c>
      <c r="R3" s="24">
        <f>0.1241/0.131</f>
        <v>0.94732824427480911</v>
      </c>
      <c r="S3" s="24">
        <f>0.1148/0.1164</f>
        <v>0.98625429553264599</v>
      </c>
      <c r="T3" s="24">
        <f>0.1226/0.1261</f>
        <v>0.97224425059476616</v>
      </c>
      <c r="U3" s="35">
        <f>AVERAGE(F3:T3)</f>
        <v>0.98996595099979856</v>
      </c>
      <c r="V3" s="35">
        <f>STDEV(F3:T3)</f>
        <v>2.5588678172558166E-2</v>
      </c>
    </row>
    <row r="5" spans="2:22" x14ac:dyDescent="0.3">
      <c r="B5" s="117" t="s">
        <v>32</v>
      </c>
      <c r="C5" s="117"/>
      <c r="D5" s="117"/>
      <c r="E5" s="33" t="s">
        <v>30</v>
      </c>
      <c r="F5" s="22" t="s">
        <v>27</v>
      </c>
      <c r="G5" s="22" t="s">
        <v>28</v>
      </c>
      <c r="H5" s="22" t="s">
        <v>29</v>
      </c>
      <c r="I5" s="22" t="s">
        <v>2</v>
      </c>
      <c r="J5" s="22" t="s">
        <v>3</v>
      </c>
    </row>
    <row r="6" spans="2:22" ht="19.8" customHeight="1" x14ac:dyDescent="0.3">
      <c r="B6" s="117"/>
      <c r="C6" s="117"/>
      <c r="D6" s="117"/>
      <c r="E6" s="37" t="s">
        <v>31</v>
      </c>
      <c r="F6" s="19">
        <f>0.0733/0.0275</f>
        <v>2.6654545454545455</v>
      </c>
      <c r="G6" s="19">
        <f>0.11/0.0494</f>
        <v>2.2267206477732793</v>
      </c>
      <c r="H6" s="19">
        <f>0.1204/0.054</f>
        <v>2.2296296296296294</v>
      </c>
      <c r="I6" s="20">
        <f>AVERAGE(F6:H6)</f>
        <v>2.3739349409524846</v>
      </c>
      <c r="J6" s="20">
        <f>STDEV(F6:H6)</f>
        <v>0.25246757296856681</v>
      </c>
    </row>
    <row r="7" spans="2:22" x14ac:dyDescent="0.3">
      <c r="B7" s="117"/>
      <c r="C7" s="117"/>
      <c r="D7" s="117"/>
      <c r="E7" s="38" t="s">
        <v>26</v>
      </c>
      <c r="F7" s="21">
        <f>0.0639/0.0582</f>
        <v>1.0979381443298968</v>
      </c>
      <c r="G7" s="19">
        <f>0.0914/0.0882</f>
        <v>1.036281179138322</v>
      </c>
      <c r="H7" s="19">
        <f>0.091/0.0926</f>
        <v>0.98272138228941686</v>
      </c>
      <c r="I7" s="20">
        <f>AVERAGE(F7:H7)</f>
        <v>1.0389802352525452</v>
      </c>
      <c r="J7" s="20">
        <f>STDEV(F7:H7)</f>
        <v>5.765578237873404E-2</v>
      </c>
    </row>
    <row r="8" spans="2:22" x14ac:dyDescent="0.3">
      <c r="E8" s="19"/>
      <c r="F8" s="21"/>
      <c r="G8" s="21"/>
      <c r="H8" s="21"/>
      <c r="I8" s="21"/>
      <c r="J8" s="21"/>
    </row>
    <row r="9" spans="2:22" x14ac:dyDescent="0.3">
      <c r="B9" s="117" t="s">
        <v>24</v>
      </c>
      <c r="C9" s="117"/>
      <c r="D9" s="117"/>
      <c r="E9" s="39" t="s">
        <v>30</v>
      </c>
      <c r="F9" s="22" t="s">
        <v>27</v>
      </c>
      <c r="G9" s="22" t="s">
        <v>28</v>
      </c>
      <c r="H9" s="22" t="s">
        <v>29</v>
      </c>
      <c r="I9" s="22" t="s">
        <v>2</v>
      </c>
      <c r="J9" s="22" t="s">
        <v>3</v>
      </c>
    </row>
    <row r="10" spans="2:22" ht="18.600000000000001" customHeight="1" x14ac:dyDescent="0.3">
      <c r="B10" s="117"/>
      <c r="C10" s="117"/>
      <c r="D10" s="117"/>
      <c r="E10" s="37" t="s">
        <v>31</v>
      </c>
      <c r="F10" s="21">
        <f>0.1223/0.046</f>
        <v>2.6586956521739133</v>
      </c>
      <c r="G10" s="21">
        <f>0.1878/0.0715</f>
        <v>2.6265734265734269</v>
      </c>
      <c r="H10" s="21">
        <f>0.2009/0.0766</f>
        <v>2.622715404699739</v>
      </c>
      <c r="I10" s="23">
        <f>AVERAGE(F10:H10)</f>
        <v>2.6359948278156931</v>
      </c>
      <c r="J10" s="23">
        <f>STDEV(F10:H10)</f>
        <v>1.9753902224662841E-2</v>
      </c>
    </row>
    <row r="11" spans="2:22" ht="15.6" customHeight="1" x14ac:dyDescent="0.3">
      <c r="B11" s="117"/>
      <c r="C11" s="117"/>
      <c r="D11" s="117"/>
      <c r="E11" s="38" t="s">
        <v>26</v>
      </c>
      <c r="F11" s="21">
        <f>0.0799/0.078</f>
        <v>1.0243589743589743</v>
      </c>
      <c r="G11" s="21">
        <f>0.1061/0.1126</f>
        <v>0.94227353463587915</v>
      </c>
      <c r="H11" s="21">
        <f>0.1071/0.1125</f>
        <v>0.95199999999999996</v>
      </c>
      <c r="I11" s="23">
        <f>AVERAGE(F11:H11)</f>
        <v>0.97287750299828446</v>
      </c>
      <c r="J11" s="23">
        <f>STDEV(F11:H11)</f>
        <v>4.4848717397669297E-2</v>
      </c>
    </row>
    <row r="12" spans="2:22" x14ac:dyDescent="0.3">
      <c r="E12" s="19"/>
      <c r="F12" s="21"/>
      <c r="G12" s="21"/>
      <c r="H12" s="21"/>
      <c r="I12" s="21"/>
      <c r="J12" s="21"/>
    </row>
    <row r="13" spans="2:22" x14ac:dyDescent="0.3">
      <c r="B13" s="117" t="s">
        <v>33</v>
      </c>
      <c r="C13" s="117"/>
      <c r="D13" s="117"/>
      <c r="E13" s="39" t="s">
        <v>30</v>
      </c>
      <c r="F13" s="22" t="s">
        <v>27</v>
      </c>
      <c r="G13" s="22" t="s">
        <v>28</v>
      </c>
      <c r="H13" s="22" t="s">
        <v>29</v>
      </c>
      <c r="I13" s="22" t="s">
        <v>2</v>
      </c>
      <c r="J13" s="22" t="s">
        <v>3</v>
      </c>
    </row>
    <row r="14" spans="2:22" ht="17.399999999999999" customHeight="1" x14ac:dyDescent="0.3">
      <c r="B14" s="117"/>
      <c r="C14" s="117"/>
      <c r="D14" s="117"/>
      <c r="E14" s="37" t="s">
        <v>31</v>
      </c>
      <c r="F14" s="21">
        <f>0.1568/0.0541</f>
        <v>2.898336414048059</v>
      </c>
      <c r="G14" s="21">
        <f>0.1985/0.076</f>
        <v>2.611842105263158</v>
      </c>
      <c r="H14" s="21">
        <f>0.2104/0.0815</f>
        <v>2.5815950920245396</v>
      </c>
      <c r="I14" s="23">
        <f>AVERAGE(F14:H14)</f>
        <v>2.6972578704452523</v>
      </c>
      <c r="J14" s="23">
        <f>STDEV(F14:H14)</f>
        <v>0.17479461083092263</v>
      </c>
    </row>
    <row r="15" spans="2:22" x14ac:dyDescent="0.3">
      <c r="B15" s="117"/>
      <c r="C15" s="117"/>
      <c r="D15" s="117"/>
      <c r="E15" s="38" t="s">
        <v>26</v>
      </c>
      <c r="F15" s="21">
        <f>0.1012/0.0976</f>
        <v>1.0368852459016393</v>
      </c>
      <c r="G15" s="24">
        <f>0.1177/0.1157</f>
        <v>1.017286084701815</v>
      </c>
      <c r="H15" s="21">
        <f>0.1277/0.1272</f>
        <v>1.003930817610063</v>
      </c>
      <c r="I15" s="23">
        <f>AVERAGE(F15:H15)</f>
        <v>1.0193673827378389</v>
      </c>
      <c r="J15" s="23">
        <f>STDEV(F15:H15)</f>
        <v>1.6575507145853194E-2</v>
      </c>
    </row>
    <row r="17" spans="2:10" x14ac:dyDescent="0.3">
      <c r="B17" s="117" t="s">
        <v>34</v>
      </c>
      <c r="C17" s="117"/>
      <c r="D17" s="117"/>
      <c r="E17" s="39" t="s">
        <v>30</v>
      </c>
      <c r="F17" s="22" t="s">
        <v>27</v>
      </c>
      <c r="G17" s="22" t="s">
        <v>28</v>
      </c>
      <c r="H17" s="22" t="s">
        <v>29</v>
      </c>
      <c r="I17" s="22" t="s">
        <v>2</v>
      </c>
      <c r="J17" s="22" t="s">
        <v>3</v>
      </c>
    </row>
    <row r="18" spans="2:10" x14ac:dyDescent="0.3">
      <c r="B18" s="117"/>
      <c r="C18" s="117"/>
      <c r="D18" s="117"/>
      <c r="E18" s="37" t="s">
        <v>31</v>
      </c>
      <c r="F18" s="24">
        <f>0.0857/0.0352</f>
        <v>2.4346590909090908</v>
      </c>
      <c r="G18" s="24">
        <f>0.067/0.0296</f>
        <v>2.2635135135135136</v>
      </c>
      <c r="H18" s="24">
        <f>0.1452/0.0615</f>
        <v>2.3609756097560974</v>
      </c>
      <c r="I18" s="40">
        <f>AVERAGE(F18:H18)</f>
        <v>2.3530494047262338</v>
      </c>
      <c r="J18" s="40">
        <f>STDEV(F18:H18)</f>
        <v>8.5847659899079096E-2</v>
      </c>
    </row>
    <row r="19" spans="2:10" x14ac:dyDescent="0.3">
      <c r="B19" s="117"/>
      <c r="C19" s="117"/>
      <c r="D19" s="117"/>
      <c r="E19" s="38" t="s">
        <v>26</v>
      </c>
      <c r="F19" s="24">
        <f>0.0585/0.0588</f>
        <v>0.99489795918367352</v>
      </c>
      <c r="G19" s="24">
        <f>0.0519/0.0604</f>
        <v>0.85927152317880795</v>
      </c>
      <c r="H19" s="24">
        <f>0.1094/0.1183</f>
        <v>0.92476754015215545</v>
      </c>
      <c r="I19" s="40">
        <f>AVERAGE(F19:H19)</f>
        <v>0.92631234083821223</v>
      </c>
      <c r="J19" s="40">
        <f>STDEV(F19:H19)</f>
        <v>6.7826413311594225E-2</v>
      </c>
    </row>
    <row r="20" spans="2:10" x14ac:dyDescent="0.3">
      <c r="I20" s="40"/>
      <c r="J20" s="40"/>
    </row>
    <row r="21" spans="2:10" x14ac:dyDescent="0.3">
      <c r="B21" s="117" t="s">
        <v>35</v>
      </c>
      <c r="C21" s="117"/>
      <c r="D21" s="117"/>
      <c r="E21" s="39" t="s">
        <v>30</v>
      </c>
      <c r="F21" s="22" t="s">
        <v>27</v>
      </c>
      <c r="G21" s="22" t="s">
        <v>28</v>
      </c>
      <c r="H21" s="22" t="s">
        <v>29</v>
      </c>
      <c r="I21" s="22" t="s">
        <v>2</v>
      </c>
      <c r="J21" s="22" t="s">
        <v>3</v>
      </c>
    </row>
    <row r="22" spans="2:10" x14ac:dyDescent="0.3">
      <c r="B22" s="117"/>
      <c r="C22" s="117"/>
      <c r="D22" s="117"/>
      <c r="E22" s="37" t="s">
        <v>31</v>
      </c>
      <c r="F22" s="24">
        <f>0.1528/0.0521</f>
        <v>2.932821497120921</v>
      </c>
      <c r="G22" s="24">
        <f>0.1719/0.063</f>
        <v>2.7285714285714286</v>
      </c>
      <c r="H22" s="24">
        <f>0.1316/0.0529</f>
        <v>2.487712665406427</v>
      </c>
      <c r="I22" s="40">
        <f>AVERAGE(F22:H22)</f>
        <v>2.716368530366259</v>
      </c>
      <c r="J22" s="40">
        <f>STDEV(F22:H22)</f>
        <v>0.22280518634227242</v>
      </c>
    </row>
    <row r="23" spans="2:10" x14ac:dyDescent="0.3">
      <c r="B23" s="117"/>
      <c r="C23" s="117"/>
      <c r="D23" s="117"/>
      <c r="E23" s="38" t="s">
        <v>26</v>
      </c>
      <c r="F23" s="24">
        <f>0.0821/0.0763</f>
        <v>1.0760157273918742</v>
      </c>
      <c r="G23" s="24">
        <f>0.0962/0.092</f>
        <v>1.0456521739130433</v>
      </c>
      <c r="H23" s="24">
        <f>0.073/0.072</f>
        <v>1.0138888888888888</v>
      </c>
      <c r="I23" s="40">
        <f>AVERAGE(F23:H23)</f>
        <v>1.0451855967312687</v>
      </c>
      <c r="J23" s="40">
        <f>STDEV(F23:H23)</f>
        <v>3.1066047162359129E-2</v>
      </c>
    </row>
    <row r="25" spans="2:10" x14ac:dyDescent="0.3">
      <c r="B25" s="117" t="s">
        <v>36</v>
      </c>
      <c r="C25" s="117"/>
      <c r="D25" s="117"/>
      <c r="E25" s="39" t="s">
        <v>30</v>
      </c>
      <c r="F25" s="22" t="s">
        <v>27</v>
      </c>
      <c r="G25" s="22" t="s">
        <v>28</v>
      </c>
      <c r="H25" s="22" t="s">
        <v>29</v>
      </c>
      <c r="I25" s="22" t="s">
        <v>2</v>
      </c>
      <c r="J25" s="22" t="s">
        <v>3</v>
      </c>
    </row>
    <row r="26" spans="2:10" x14ac:dyDescent="0.3">
      <c r="B26" s="117"/>
      <c r="C26" s="117"/>
      <c r="D26" s="117"/>
      <c r="E26" s="37" t="s">
        <v>31</v>
      </c>
      <c r="F26" s="24">
        <f>0.1002/0.0426</f>
        <v>2.352112676056338</v>
      </c>
      <c r="G26" s="24">
        <f>0.1289/0.0544</f>
        <v>2.3694852941176467</v>
      </c>
      <c r="H26" s="24">
        <f>0.078/0.0343</f>
        <v>2.2740524781341112</v>
      </c>
      <c r="I26" s="40">
        <f>AVERAGE(F26:H26)</f>
        <v>2.3318834827693653</v>
      </c>
      <c r="J26" s="40">
        <f>STDEV(F26:H26)</f>
        <v>5.0830805496451831E-2</v>
      </c>
    </row>
    <row r="27" spans="2:10" x14ac:dyDescent="0.3">
      <c r="B27" s="117"/>
      <c r="C27" s="117"/>
      <c r="D27" s="117"/>
      <c r="E27" s="38" t="s">
        <v>26</v>
      </c>
      <c r="F27" s="24">
        <f>0.0748/0.0758</f>
        <v>0.98680738786279687</v>
      </c>
      <c r="G27" s="24">
        <f>0.0921/0.0953</f>
        <v>0.96642182581322145</v>
      </c>
      <c r="H27" s="24">
        <f>0.0556/0.0564</f>
        <v>0.98581560283687941</v>
      </c>
      <c r="I27" s="40">
        <f>AVERAGE(F27:H27)</f>
        <v>0.97968160550429928</v>
      </c>
      <c r="J27" s="40">
        <f>STDEV(F27:H27)</f>
        <v>1.1494008329401362E-2</v>
      </c>
    </row>
    <row r="29" spans="2:10" x14ac:dyDescent="0.3">
      <c r="B29" s="117" t="s">
        <v>37</v>
      </c>
      <c r="C29" s="117"/>
      <c r="D29" s="117"/>
      <c r="E29" s="39" t="s">
        <v>30</v>
      </c>
      <c r="F29" s="22" t="s">
        <v>27</v>
      </c>
      <c r="G29" s="22" t="s">
        <v>28</v>
      </c>
      <c r="H29" s="22" t="s">
        <v>29</v>
      </c>
      <c r="I29" s="22" t="s">
        <v>2</v>
      </c>
      <c r="J29" s="22" t="s">
        <v>3</v>
      </c>
    </row>
    <row r="30" spans="2:10" x14ac:dyDescent="0.3">
      <c r="B30" s="117"/>
      <c r="C30" s="117"/>
      <c r="D30" s="117"/>
      <c r="E30" s="37" t="s">
        <v>31</v>
      </c>
      <c r="F30" s="24">
        <f>0.0849/0.0378</f>
        <v>2.246031746031746</v>
      </c>
      <c r="G30" s="24">
        <f>0.0728/0.0294</f>
        <v>2.4761904761904763</v>
      </c>
      <c r="H30" s="24">
        <f>0.0544/0.0234</f>
        <v>2.3247863247863245</v>
      </c>
      <c r="I30" s="40">
        <f>AVERAGE(F30:H30)</f>
        <v>2.3490028490028489</v>
      </c>
      <c r="J30" s="40">
        <f>STDEV(F30:H30)</f>
        <v>0.11697474214939281</v>
      </c>
    </row>
    <row r="31" spans="2:10" x14ac:dyDescent="0.3">
      <c r="B31" s="117"/>
      <c r="C31" s="117"/>
      <c r="D31" s="117"/>
      <c r="E31" s="38" t="s">
        <v>26</v>
      </c>
      <c r="F31" s="24">
        <f>0.066/0.0671</f>
        <v>0.98360655737704916</v>
      </c>
      <c r="G31" s="24">
        <f>0.058/0.0558</f>
        <v>1.0394265232974911</v>
      </c>
      <c r="H31" s="24">
        <f>0.0423/0.0431</f>
        <v>0.9814385150812065</v>
      </c>
      <c r="I31" s="40">
        <f>AVERAGE(F31:H31)</f>
        <v>1.0014905319185823</v>
      </c>
      <c r="J31" s="40">
        <f>STDEV(F31:H31)</f>
        <v>3.2871411336823135E-2</v>
      </c>
    </row>
    <row r="32" spans="2:10" x14ac:dyDescent="0.3">
      <c r="I32" s="40"/>
      <c r="J32" s="40"/>
    </row>
    <row r="33" spans="2:10" x14ac:dyDescent="0.3">
      <c r="B33" s="117" t="s">
        <v>38</v>
      </c>
      <c r="C33" s="117"/>
      <c r="D33" s="117"/>
      <c r="E33" s="39" t="s">
        <v>30</v>
      </c>
      <c r="F33" s="22" t="s">
        <v>27</v>
      </c>
      <c r="G33" s="22" t="s">
        <v>28</v>
      </c>
      <c r="H33" s="22" t="s">
        <v>29</v>
      </c>
      <c r="I33" s="22" t="s">
        <v>2</v>
      </c>
      <c r="J33" s="22" t="s">
        <v>3</v>
      </c>
    </row>
    <row r="34" spans="2:10" x14ac:dyDescent="0.3">
      <c r="B34" s="117"/>
      <c r="C34" s="117"/>
      <c r="D34" s="117"/>
      <c r="E34" s="37" t="s">
        <v>31</v>
      </c>
      <c r="F34" s="24">
        <f>0.0859/0.0342</f>
        <v>2.5116959064327484</v>
      </c>
      <c r="G34" s="24">
        <f>0.121/0.0471</f>
        <v>2.5690021231422504</v>
      </c>
      <c r="H34" s="24">
        <f>0.0777/0.0307</f>
        <v>2.5309446254071664</v>
      </c>
      <c r="I34" s="40">
        <f>AVERAGE(F34:H34)</f>
        <v>2.5372142183273882</v>
      </c>
      <c r="J34" s="40">
        <f>STDEV(F34:H34)</f>
        <v>2.916301536069401E-2</v>
      </c>
    </row>
    <row r="35" spans="2:10" x14ac:dyDescent="0.3">
      <c r="B35" s="117"/>
      <c r="C35" s="117"/>
      <c r="D35" s="117"/>
      <c r="E35" s="38" t="s">
        <v>26</v>
      </c>
      <c r="F35" s="24">
        <f>0.0659/0.0641</f>
        <v>1.0280811232449298</v>
      </c>
      <c r="G35" s="24">
        <f>0.0839/0.0872</f>
        <v>0.96215596330275233</v>
      </c>
      <c r="H35" s="24">
        <f>0.0557/0.0553</f>
        <v>1.0072332730560578</v>
      </c>
      <c r="I35" s="40">
        <f>AVERAGE(F35:H35)</f>
        <v>0.99915678653457995</v>
      </c>
      <c r="J35" s="40">
        <f>STDEV(F35:H35)</f>
        <v>3.3696496913613011E-2</v>
      </c>
    </row>
  </sheetData>
  <mergeCells count="9">
    <mergeCell ref="B1:D3"/>
    <mergeCell ref="B9:D11"/>
    <mergeCell ref="B5:D7"/>
    <mergeCell ref="B13:D15"/>
    <mergeCell ref="B17:D19"/>
    <mergeCell ref="B21:D23"/>
    <mergeCell ref="B25:D27"/>
    <mergeCell ref="B29:D31"/>
    <mergeCell ref="B33:D35"/>
  </mergeCells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267A-EEB4-418C-8D01-B3631DD82FB5}">
  <dimension ref="A1:N31"/>
  <sheetViews>
    <sheetView workbookViewId="0">
      <selection sqref="A1:N31"/>
    </sheetView>
  </sheetViews>
  <sheetFormatPr defaultRowHeight="14.4" x14ac:dyDescent="0.3"/>
  <cols>
    <col min="1" max="1" width="10.88671875" bestFit="1" customWidth="1"/>
    <col min="2" max="2" width="12" bestFit="1" customWidth="1"/>
    <col min="3" max="8" width="11.44140625" bestFit="1" customWidth="1"/>
    <col min="9" max="11" width="9.88671875" bestFit="1" customWidth="1"/>
    <col min="12" max="14" width="11.44140625" bestFit="1" customWidth="1"/>
  </cols>
  <sheetData>
    <row r="1" spans="1:14" x14ac:dyDescent="0.3">
      <c r="A1" s="119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3">
      <c r="A2" s="30" t="s">
        <v>63</v>
      </c>
      <c r="B2" s="30" t="s">
        <v>0</v>
      </c>
      <c r="C2" s="30" t="s">
        <v>51</v>
      </c>
      <c r="D2" s="30" t="s">
        <v>52</v>
      </c>
      <c r="E2" s="30" t="s">
        <v>53</v>
      </c>
      <c r="F2" s="30" t="s">
        <v>54</v>
      </c>
      <c r="G2" s="30" t="s">
        <v>55</v>
      </c>
      <c r="H2" s="30" t="s">
        <v>56</v>
      </c>
      <c r="I2" s="30" t="s">
        <v>57</v>
      </c>
      <c r="J2" s="30" t="s">
        <v>58</v>
      </c>
      <c r="K2" s="30" t="s">
        <v>59</v>
      </c>
      <c r="L2" s="30" t="s">
        <v>60</v>
      </c>
      <c r="M2" s="30" t="s">
        <v>61</v>
      </c>
      <c r="N2" s="30" t="s">
        <v>62</v>
      </c>
    </row>
    <row r="3" spans="1:14" x14ac:dyDescent="0.3">
      <c r="A3" s="30" t="s">
        <v>27</v>
      </c>
      <c r="B3" s="29">
        <v>1.4637524129999999</v>
      </c>
      <c r="C3" s="29">
        <v>1.54</v>
      </c>
      <c r="D3" s="29">
        <v>1.47</v>
      </c>
      <c r="E3" s="29">
        <v>1.66</v>
      </c>
      <c r="F3" s="29">
        <v>1.48</v>
      </c>
      <c r="G3" s="29">
        <v>1.57</v>
      </c>
      <c r="H3" s="29">
        <v>1.5</v>
      </c>
      <c r="I3" s="29">
        <v>1.53</v>
      </c>
      <c r="J3" s="29">
        <v>1.45</v>
      </c>
      <c r="K3" s="29">
        <v>1.55</v>
      </c>
      <c r="L3" s="29">
        <v>1.6</v>
      </c>
      <c r="M3" s="29">
        <v>1.46</v>
      </c>
      <c r="N3" s="29">
        <v>1.1100000000000001</v>
      </c>
    </row>
    <row r="4" spans="1:14" x14ac:dyDescent="0.3">
      <c r="A4" s="30" t="s">
        <v>28</v>
      </c>
      <c r="B4" s="29">
        <v>1.4930000000000001</v>
      </c>
      <c r="C4" s="29">
        <v>1.8</v>
      </c>
      <c r="D4" s="29">
        <v>1.67</v>
      </c>
      <c r="E4" s="29">
        <v>1.38</v>
      </c>
      <c r="F4" s="29">
        <v>1.3</v>
      </c>
      <c r="G4" s="29">
        <v>1.83</v>
      </c>
      <c r="H4" s="29">
        <v>1.74</v>
      </c>
      <c r="I4" s="29">
        <v>1.31</v>
      </c>
      <c r="J4" s="29">
        <v>1.64</v>
      </c>
      <c r="K4" s="29">
        <v>1.25</v>
      </c>
      <c r="L4" s="29">
        <v>1.87</v>
      </c>
      <c r="M4" s="29">
        <v>1.69</v>
      </c>
      <c r="N4" s="29">
        <v>1.39</v>
      </c>
    </row>
    <row r="5" spans="1:14" x14ac:dyDescent="0.3">
      <c r="A5" s="30" t="s">
        <v>29</v>
      </c>
      <c r="B5" s="29">
        <v>1.671</v>
      </c>
      <c r="C5" s="29">
        <v>1.33</v>
      </c>
      <c r="D5" s="29">
        <v>1.91</v>
      </c>
      <c r="E5" s="29">
        <v>1.52</v>
      </c>
      <c r="F5" s="29">
        <v>1.58</v>
      </c>
      <c r="G5" s="29">
        <v>1.45</v>
      </c>
      <c r="H5" s="29">
        <v>1.49</v>
      </c>
      <c r="I5" s="29">
        <v>1.5</v>
      </c>
      <c r="J5" s="29">
        <v>1.71</v>
      </c>
      <c r="K5" s="29">
        <v>1.41</v>
      </c>
      <c r="L5" s="29">
        <v>1.1499999999999999</v>
      </c>
      <c r="M5" s="29">
        <v>1.0900000000000001</v>
      </c>
      <c r="N5" s="29">
        <v>1.1399999999999999</v>
      </c>
    </row>
    <row r="6" spans="1:14" x14ac:dyDescent="0.3">
      <c r="A6" s="30" t="s">
        <v>2</v>
      </c>
      <c r="B6" s="32">
        <f>AVERAGE(B3:B5)</f>
        <v>1.5425841376666669</v>
      </c>
      <c r="C6" s="32">
        <f t="shared" ref="C6:N6" si="0">AVERAGE(C3:C5)</f>
        <v>1.5566666666666666</v>
      </c>
      <c r="D6" s="32">
        <f t="shared" si="0"/>
        <v>1.6833333333333333</v>
      </c>
      <c r="E6" s="32">
        <f t="shared" si="0"/>
        <v>1.5200000000000002</v>
      </c>
      <c r="F6" s="32">
        <f t="shared" si="0"/>
        <v>1.4533333333333334</v>
      </c>
      <c r="G6" s="32">
        <f t="shared" si="0"/>
        <v>1.6166666666666669</v>
      </c>
      <c r="H6" s="32">
        <f t="shared" si="0"/>
        <v>1.5766666666666669</v>
      </c>
      <c r="I6" s="32">
        <f t="shared" si="0"/>
        <v>1.4466666666666665</v>
      </c>
      <c r="J6" s="32">
        <f t="shared" si="0"/>
        <v>1.5999999999999999</v>
      </c>
      <c r="K6" s="32">
        <f t="shared" si="0"/>
        <v>1.4033333333333333</v>
      </c>
      <c r="L6" s="32">
        <f t="shared" si="0"/>
        <v>1.54</v>
      </c>
      <c r="M6" s="32">
        <f t="shared" si="0"/>
        <v>1.4133333333333333</v>
      </c>
      <c r="N6" s="32">
        <f t="shared" si="0"/>
        <v>1.2133333333333332</v>
      </c>
    </row>
    <row r="7" spans="1:14" x14ac:dyDescent="0.3">
      <c r="A7" s="30" t="s">
        <v>3</v>
      </c>
      <c r="B7" s="32">
        <f>STDEV(B3:B5)</f>
        <v>0.11216875951191073</v>
      </c>
      <c r="C7" s="32">
        <f t="shared" ref="C7:N7" si="1">STDEV(C3:C5)</f>
        <v>0.23544284515213901</v>
      </c>
      <c r="D7" s="32">
        <f t="shared" si="1"/>
        <v>0.22030282189144404</v>
      </c>
      <c r="E7" s="32">
        <f t="shared" si="1"/>
        <v>0.14000000000000001</v>
      </c>
      <c r="F7" s="32">
        <f t="shared" si="1"/>
        <v>0.14189197769195175</v>
      </c>
      <c r="G7" s="32">
        <f t="shared" si="1"/>
        <v>0.19425069712444626</v>
      </c>
      <c r="H7" s="32">
        <f t="shared" si="1"/>
        <v>0.14153915830374764</v>
      </c>
      <c r="I7" s="32">
        <f t="shared" si="1"/>
        <v>0.11930353445448852</v>
      </c>
      <c r="J7" s="32">
        <f t="shared" si="1"/>
        <v>0.13453624047073712</v>
      </c>
      <c r="K7" s="32">
        <f t="shared" si="1"/>
        <v>0.15011106998930271</v>
      </c>
      <c r="L7" s="32">
        <f t="shared" si="1"/>
        <v>0.36373066958946465</v>
      </c>
      <c r="M7" s="32">
        <f t="shared" si="1"/>
        <v>0.3027099822162011</v>
      </c>
      <c r="N7" s="32">
        <f t="shared" si="1"/>
        <v>0.15373136743467034</v>
      </c>
    </row>
    <row r="8" spans="1:14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3">
      <c r="A9" s="119" t="s">
        <v>65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3">
      <c r="A10" s="30" t="s">
        <v>63</v>
      </c>
      <c r="B10" s="30" t="s">
        <v>0</v>
      </c>
      <c r="C10" s="30" t="s">
        <v>51</v>
      </c>
      <c r="D10" s="30" t="s">
        <v>52</v>
      </c>
      <c r="E10" s="30" t="s">
        <v>53</v>
      </c>
      <c r="F10" s="30" t="s">
        <v>54</v>
      </c>
      <c r="G10" s="30" t="s">
        <v>55</v>
      </c>
      <c r="H10" s="30" t="s">
        <v>56</v>
      </c>
      <c r="I10" s="30" t="s">
        <v>57</v>
      </c>
      <c r="J10" s="30" t="s">
        <v>58</v>
      </c>
      <c r="K10" s="30" t="s">
        <v>59</v>
      </c>
      <c r="L10" s="30" t="s">
        <v>60</v>
      </c>
      <c r="M10" s="30" t="s">
        <v>61</v>
      </c>
      <c r="N10" s="30" t="s">
        <v>62</v>
      </c>
    </row>
    <row r="11" spans="1:14" x14ac:dyDescent="0.3">
      <c r="A11" s="30" t="s">
        <v>27</v>
      </c>
      <c r="B11" s="29">
        <v>1.0903888429999999</v>
      </c>
      <c r="C11" s="29">
        <v>1.0980000000000001</v>
      </c>
      <c r="D11" s="29">
        <v>1.35</v>
      </c>
      <c r="E11" s="29">
        <v>0.98</v>
      </c>
      <c r="F11" s="29">
        <v>1.06</v>
      </c>
      <c r="G11" s="29">
        <v>1.05</v>
      </c>
      <c r="H11" s="29">
        <v>1.0900000000000001</v>
      </c>
      <c r="I11" s="29">
        <v>1.1100000000000001</v>
      </c>
      <c r="J11" s="29">
        <v>1.1399999999999999</v>
      </c>
      <c r="K11" s="29">
        <v>1.1000000000000001</v>
      </c>
      <c r="L11" s="29">
        <v>1.0900000000000001</v>
      </c>
      <c r="M11" s="29">
        <v>1.1100000000000001</v>
      </c>
      <c r="N11" s="29">
        <v>0.85</v>
      </c>
    </row>
    <row r="12" spans="1:14" x14ac:dyDescent="0.3">
      <c r="A12" s="30" t="s">
        <v>28</v>
      </c>
      <c r="B12" s="29">
        <v>1.1299999999999999</v>
      </c>
      <c r="C12" s="29">
        <v>1.135</v>
      </c>
      <c r="D12" s="29">
        <v>1.1100000000000001</v>
      </c>
      <c r="E12" s="29">
        <v>0.68</v>
      </c>
      <c r="F12" s="29">
        <v>1.22</v>
      </c>
      <c r="G12" s="29">
        <v>1.35</v>
      </c>
      <c r="H12" s="29">
        <v>1.1399999999999999</v>
      </c>
      <c r="I12" s="29">
        <v>1.23</v>
      </c>
      <c r="J12" s="29">
        <v>1.1200000000000001</v>
      </c>
      <c r="K12" s="29">
        <v>0.85</v>
      </c>
      <c r="L12" s="29">
        <v>0.77</v>
      </c>
      <c r="M12" s="29">
        <v>1.43</v>
      </c>
      <c r="N12" s="29">
        <v>1.06</v>
      </c>
    </row>
    <row r="13" spans="1:14" x14ac:dyDescent="0.3">
      <c r="A13" s="30" t="s">
        <v>29</v>
      </c>
      <c r="B13" s="29">
        <v>1.06</v>
      </c>
      <c r="C13" s="29">
        <v>1.119</v>
      </c>
      <c r="D13" s="29">
        <v>1.08</v>
      </c>
      <c r="E13" s="29">
        <v>0.86</v>
      </c>
      <c r="F13" s="29">
        <v>1.36</v>
      </c>
      <c r="G13" s="29">
        <v>1.26</v>
      </c>
      <c r="H13" s="29">
        <v>0.78</v>
      </c>
      <c r="I13" s="29">
        <v>1.42</v>
      </c>
      <c r="J13" s="29">
        <v>1.25</v>
      </c>
      <c r="K13" s="29">
        <v>1.23</v>
      </c>
      <c r="L13" s="29">
        <v>1.18</v>
      </c>
      <c r="M13" s="29">
        <v>1.23</v>
      </c>
      <c r="N13" s="29">
        <v>0.79</v>
      </c>
    </row>
    <row r="14" spans="1:14" x14ac:dyDescent="0.3">
      <c r="A14" s="30" t="s">
        <v>2</v>
      </c>
      <c r="B14" s="32">
        <f>AVERAGE(B11:B13)</f>
        <v>1.0934629476666666</v>
      </c>
      <c r="C14" s="32">
        <f t="shared" ref="C14" si="2">AVERAGE(C11:C13)</f>
        <v>1.1173333333333335</v>
      </c>
      <c r="D14" s="32">
        <f t="shared" ref="D14" si="3">AVERAGE(D11:D13)</f>
        <v>1.18</v>
      </c>
      <c r="E14" s="32">
        <f t="shared" ref="E14" si="4">AVERAGE(E11:E13)</f>
        <v>0.84</v>
      </c>
      <c r="F14" s="32">
        <f t="shared" ref="F14" si="5">AVERAGE(F11:F13)</f>
        <v>1.2133333333333336</v>
      </c>
      <c r="G14" s="32">
        <f t="shared" ref="G14" si="6">AVERAGE(G11:G13)</f>
        <v>1.22</v>
      </c>
      <c r="H14" s="32">
        <f t="shared" ref="H14" si="7">AVERAGE(H11:H13)</f>
        <v>1.0033333333333332</v>
      </c>
      <c r="I14" s="32">
        <f t="shared" ref="I14" si="8">AVERAGE(I11:I13)</f>
        <v>1.2533333333333332</v>
      </c>
      <c r="J14" s="32">
        <f t="shared" ref="J14" si="9">AVERAGE(J11:J13)</f>
        <v>1.17</v>
      </c>
      <c r="K14" s="32">
        <f t="shared" ref="K14" si="10">AVERAGE(K11:K13)</f>
        <v>1.06</v>
      </c>
      <c r="L14" s="32">
        <f>AVERAGE(L11:L13)</f>
        <v>1.0133333333333334</v>
      </c>
      <c r="M14" s="32">
        <f t="shared" ref="M14" si="11">AVERAGE(M11:M13)</f>
        <v>1.2566666666666666</v>
      </c>
      <c r="N14" s="32">
        <f t="shared" ref="N14" si="12">AVERAGE(N11:N13)</f>
        <v>0.9</v>
      </c>
    </row>
    <row r="15" spans="1:14" x14ac:dyDescent="0.3">
      <c r="A15" s="30" t="s">
        <v>3</v>
      </c>
      <c r="B15" s="32">
        <f>STDEV(B11:B13)</f>
        <v>3.5101105247929316E-2</v>
      </c>
      <c r="C15" s="32">
        <f t="shared" ref="C15:N15" si="13">STDEV(C11:C13)</f>
        <v>1.8556220879622335E-2</v>
      </c>
      <c r="D15" s="32">
        <f t="shared" si="13"/>
        <v>0.14798648586948904</v>
      </c>
      <c r="E15" s="32">
        <f t="shared" si="13"/>
        <v>0.15099668870541477</v>
      </c>
      <c r="F15" s="32">
        <f t="shared" si="13"/>
        <v>0.15011106998930182</v>
      </c>
      <c r="G15" s="32">
        <f t="shared" si="13"/>
        <v>0.15394804318340743</v>
      </c>
      <c r="H15" s="32">
        <f t="shared" si="13"/>
        <v>0.19502136635080219</v>
      </c>
      <c r="I15" s="32">
        <f t="shared" si="13"/>
        <v>0.1563116545025787</v>
      </c>
      <c r="J15" s="32">
        <f t="shared" si="13"/>
        <v>6.9999999999999993E-2</v>
      </c>
      <c r="K15" s="32">
        <f t="shared" si="13"/>
        <v>0.19313207915827937</v>
      </c>
      <c r="L15" s="32">
        <f t="shared" si="13"/>
        <v>0.21548395145191979</v>
      </c>
      <c r="M15" s="32">
        <f t="shared" si="13"/>
        <v>0.16165807537309593</v>
      </c>
      <c r="N15" s="32">
        <f t="shared" si="13"/>
        <v>0.14177446878757827</v>
      </c>
    </row>
    <row r="16" spans="1:14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3">
      <c r="A17" s="119" t="s">
        <v>66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x14ac:dyDescent="0.3">
      <c r="A18" s="30" t="s">
        <v>63</v>
      </c>
      <c r="B18" s="30" t="s">
        <v>0</v>
      </c>
      <c r="C18" s="30" t="s">
        <v>51</v>
      </c>
      <c r="D18" s="30" t="s">
        <v>52</v>
      </c>
      <c r="E18" s="30" t="s">
        <v>53</v>
      </c>
      <c r="F18" s="30" t="s">
        <v>54</v>
      </c>
      <c r="G18" s="30" t="s">
        <v>55</v>
      </c>
      <c r="H18" s="30" t="s">
        <v>56</v>
      </c>
      <c r="I18" s="30" t="s">
        <v>57</v>
      </c>
      <c r="J18" s="30" t="s">
        <v>58</v>
      </c>
      <c r="K18" s="30" t="s">
        <v>59</v>
      </c>
      <c r="L18" s="30" t="s">
        <v>60</v>
      </c>
      <c r="M18" s="30" t="s">
        <v>61</v>
      </c>
      <c r="N18" s="30" t="s">
        <v>62</v>
      </c>
    </row>
    <row r="19" spans="1:14" x14ac:dyDescent="0.3">
      <c r="A19" s="30" t="s">
        <v>27</v>
      </c>
      <c r="B19" s="29">
        <v>0.826156</v>
      </c>
      <c r="C19" s="29">
        <v>0.81</v>
      </c>
      <c r="D19" s="29">
        <v>0.85</v>
      </c>
      <c r="E19" s="29">
        <v>0.81</v>
      </c>
      <c r="F19" s="29">
        <v>0.83</v>
      </c>
      <c r="G19" s="29">
        <v>0.76</v>
      </c>
      <c r="H19" s="29">
        <v>0.78</v>
      </c>
      <c r="I19" s="29">
        <v>0.79</v>
      </c>
      <c r="J19" s="29">
        <v>0.85</v>
      </c>
      <c r="K19" s="29">
        <v>0.83</v>
      </c>
      <c r="L19" s="29">
        <v>0.61</v>
      </c>
      <c r="M19" s="29">
        <v>0.87</v>
      </c>
      <c r="N19" s="29">
        <v>0.77</v>
      </c>
    </row>
    <row r="20" spans="1:14" x14ac:dyDescent="0.3">
      <c r="A20" s="30" t="s">
        <v>28</v>
      </c>
      <c r="B20" s="29">
        <v>0.87256699999999998</v>
      </c>
      <c r="C20" s="29">
        <v>0.92</v>
      </c>
      <c r="D20" s="29">
        <v>0.95</v>
      </c>
      <c r="E20" s="29">
        <v>0.62</v>
      </c>
      <c r="F20" s="29">
        <v>0.64</v>
      </c>
      <c r="G20" s="29">
        <v>0.94</v>
      </c>
      <c r="H20" s="29">
        <v>0.96</v>
      </c>
      <c r="I20" s="29">
        <v>0.92</v>
      </c>
      <c r="J20" s="29">
        <v>1.03</v>
      </c>
      <c r="K20" s="29">
        <v>0.85</v>
      </c>
      <c r="L20" s="29">
        <v>1.01</v>
      </c>
      <c r="M20" s="29">
        <v>1.01</v>
      </c>
      <c r="N20" s="29">
        <v>0.59</v>
      </c>
    </row>
    <row r="21" spans="1:14" x14ac:dyDescent="0.3">
      <c r="A21" s="30" t="s">
        <v>29</v>
      </c>
      <c r="B21" s="29">
        <v>0.894621</v>
      </c>
      <c r="C21" s="29">
        <v>0.69</v>
      </c>
      <c r="D21" s="29">
        <v>0.76</v>
      </c>
      <c r="E21" s="29">
        <v>0.75</v>
      </c>
      <c r="F21" s="29">
        <v>0.92</v>
      </c>
      <c r="G21" s="29">
        <v>0.88</v>
      </c>
      <c r="H21" s="29">
        <v>0.86</v>
      </c>
      <c r="I21" s="29">
        <v>0.88</v>
      </c>
      <c r="J21" s="29">
        <v>0.73</v>
      </c>
      <c r="K21" s="29">
        <v>1.02</v>
      </c>
      <c r="L21" s="29">
        <v>0.88</v>
      </c>
      <c r="M21" s="29">
        <v>0.69</v>
      </c>
      <c r="N21" s="29">
        <v>0.68</v>
      </c>
    </row>
    <row r="22" spans="1:14" x14ac:dyDescent="0.3">
      <c r="A22" s="30" t="s">
        <v>2</v>
      </c>
      <c r="B22" s="32">
        <f>AVERAGE(B19:B21)</f>
        <v>0.86444799999999999</v>
      </c>
      <c r="C22" s="32">
        <f t="shared" ref="C22" si="14">AVERAGE(C19:C21)</f>
        <v>0.80666666666666664</v>
      </c>
      <c r="D22" s="32">
        <f t="shared" ref="D22" si="15">AVERAGE(D19:D21)</f>
        <v>0.85333333333333317</v>
      </c>
      <c r="E22" s="32">
        <f t="shared" ref="E22" si="16">AVERAGE(E19:E21)</f>
        <v>0.72666666666666668</v>
      </c>
      <c r="F22" s="32">
        <f t="shared" ref="F22" si="17">AVERAGE(F19:F21)</f>
        <v>0.79666666666666675</v>
      </c>
      <c r="G22" s="32">
        <f t="shared" ref="G22" si="18">AVERAGE(G19:G21)</f>
        <v>0.86</v>
      </c>
      <c r="H22" s="32">
        <f t="shared" ref="H22" si="19">AVERAGE(H19:H21)</f>
        <v>0.8666666666666667</v>
      </c>
      <c r="I22" s="32">
        <f t="shared" ref="I22" si="20">AVERAGE(I19:I21)</f>
        <v>0.86333333333333329</v>
      </c>
      <c r="J22" s="32">
        <f t="shared" ref="J22" si="21">AVERAGE(J19:J21)</f>
        <v>0.87</v>
      </c>
      <c r="K22" s="32">
        <f t="shared" ref="K22" si="22">AVERAGE(K19:K21)</f>
        <v>0.9</v>
      </c>
      <c r="L22" s="32">
        <f>AVERAGE(L19:L21)</f>
        <v>0.83333333333333337</v>
      </c>
      <c r="M22" s="32">
        <f t="shared" ref="M22" si="23">AVERAGE(M19:M21)</f>
        <v>0.85666666666666658</v>
      </c>
      <c r="N22" s="32">
        <f t="shared" ref="N22" si="24">AVERAGE(N19:N21)</f>
        <v>0.68</v>
      </c>
    </row>
    <row r="23" spans="1:14" x14ac:dyDescent="0.3">
      <c r="A23" s="30" t="s">
        <v>3</v>
      </c>
      <c r="B23" s="32">
        <f>STDEV(B19:B21)</f>
        <v>3.4947141184938142E-2</v>
      </c>
      <c r="C23" s="32">
        <f t="shared" ref="C23:N23" si="25">STDEV(C19:C21)</f>
        <v>0.11503622617824974</v>
      </c>
      <c r="D23" s="32">
        <f t="shared" si="25"/>
        <v>9.5043849529221652E-2</v>
      </c>
      <c r="E23" s="32">
        <f t="shared" si="25"/>
        <v>9.7125348562222893E-2</v>
      </c>
      <c r="F23" s="32">
        <f t="shared" si="25"/>
        <v>0.14294521094927701</v>
      </c>
      <c r="G23" s="32">
        <f t="shared" si="25"/>
        <v>9.1651513899116771E-2</v>
      </c>
      <c r="H23" s="32">
        <f t="shared" si="25"/>
        <v>9.0184995056457856E-2</v>
      </c>
      <c r="I23" s="32">
        <f t="shared" si="25"/>
        <v>6.6583281184793924E-2</v>
      </c>
      <c r="J23" s="32">
        <f t="shared" si="25"/>
        <v>0.15099668870541549</v>
      </c>
      <c r="K23" s="32">
        <f t="shared" si="25"/>
        <v>0.10440306508910553</v>
      </c>
      <c r="L23" s="32">
        <f t="shared" si="25"/>
        <v>0.20404247923737151</v>
      </c>
      <c r="M23" s="32">
        <f t="shared" si="25"/>
        <v>0.16041612554021303</v>
      </c>
      <c r="N23" s="32">
        <f t="shared" si="25"/>
        <v>8.9999999999999983E-2</v>
      </c>
    </row>
    <row r="24" spans="1:14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3">
      <c r="A25" s="119" t="s">
        <v>67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14" x14ac:dyDescent="0.3">
      <c r="A26" s="30" t="s">
        <v>63</v>
      </c>
      <c r="B26" s="30" t="s">
        <v>0</v>
      </c>
      <c r="C26" s="30" t="s">
        <v>51</v>
      </c>
      <c r="D26" s="30" t="s">
        <v>52</v>
      </c>
      <c r="E26" s="30" t="s">
        <v>53</v>
      </c>
      <c r="F26" s="30" t="s">
        <v>54</v>
      </c>
      <c r="G26" s="30" t="s">
        <v>55</v>
      </c>
      <c r="H26" s="30" t="s">
        <v>56</v>
      </c>
      <c r="I26" s="30" t="s">
        <v>57</v>
      </c>
      <c r="J26" s="30" t="s">
        <v>58</v>
      </c>
      <c r="K26" s="30" t="s">
        <v>59</v>
      </c>
      <c r="L26" s="30" t="s">
        <v>60</v>
      </c>
      <c r="M26" s="30" t="s">
        <v>61</v>
      </c>
      <c r="N26" s="30" t="s">
        <v>62</v>
      </c>
    </row>
    <row r="27" spans="1:14" x14ac:dyDescent="0.3">
      <c r="A27" s="30" t="s">
        <v>27</v>
      </c>
      <c r="B27" s="29">
        <v>0.74</v>
      </c>
      <c r="C27" s="29">
        <v>0.65</v>
      </c>
      <c r="D27" s="29">
        <v>0.81</v>
      </c>
      <c r="E27" s="29">
        <v>0.68</v>
      </c>
      <c r="F27" s="29">
        <v>0.53</v>
      </c>
      <c r="G27" s="29">
        <v>0.56000000000000005</v>
      </c>
      <c r="H27" s="29">
        <v>0.51</v>
      </c>
      <c r="I27" s="29">
        <v>0.54</v>
      </c>
      <c r="J27" s="29">
        <v>0.51</v>
      </c>
      <c r="K27" s="29">
        <v>0.53</v>
      </c>
      <c r="L27" s="29">
        <v>0.53</v>
      </c>
      <c r="M27" s="29">
        <v>0.5</v>
      </c>
      <c r="N27" s="29">
        <v>0.89</v>
      </c>
    </row>
    <row r="28" spans="1:14" x14ac:dyDescent="0.3">
      <c r="A28" s="30" t="s">
        <v>28</v>
      </c>
      <c r="B28" s="29">
        <v>0.66</v>
      </c>
      <c r="C28" s="29">
        <v>0.59</v>
      </c>
      <c r="D28" s="29">
        <v>0.63</v>
      </c>
      <c r="E28" s="29">
        <v>0.65</v>
      </c>
      <c r="F28" s="29">
        <v>0.63</v>
      </c>
      <c r="G28" s="29">
        <v>0.66</v>
      </c>
      <c r="H28" s="29">
        <v>0.68</v>
      </c>
      <c r="I28" s="29">
        <v>0.49</v>
      </c>
      <c r="J28" s="29">
        <v>0.37</v>
      </c>
      <c r="K28" s="29">
        <v>0.71</v>
      </c>
      <c r="L28" s="29">
        <v>0.38</v>
      </c>
      <c r="M28" s="29">
        <v>0.68</v>
      </c>
      <c r="N28" s="29">
        <v>0.98</v>
      </c>
    </row>
    <row r="29" spans="1:14" x14ac:dyDescent="0.3">
      <c r="A29" s="30" t="s">
        <v>29</v>
      </c>
      <c r="B29" s="29">
        <v>0.81</v>
      </c>
      <c r="C29" s="29">
        <v>0.76</v>
      </c>
      <c r="D29" s="29">
        <v>0.77</v>
      </c>
      <c r="E29" s="29">
        <v>0.74</v>
      </c>
      <c r="F29" s="29">
        <v>0.47</v>
      </c>
      <c r="G29" s="29">
        <v>0.45</v>
      </c>
      <c r="H29" s="29">
        <v>0.72</v>
      </c>
      <c r="I29" s="29">
        <v>0.76</v>
      </c>
      <c r="J29" s="29">
        <v>0.47</v>
      </c>
      <c r="K29" s="29">
        <v>0.49</v>
      </c>
      <c r="L29" s="29">
        <v>0.63</v>
      </c>
      <c r="M29" s="29">
        <v>0.38</v>
      </c>
      <c r="N29" s="29">
        <v>0.64</v>
      </c>
    </row>
    <row r="30" spans="1:14" x14ac:dyDescent="0.3">
      <c r="A30" s="30" t="s">
        <v>2</v>
      </c>
      <c r="B30" s="32">
        <f>AVERAGE(B27:B29)</f>
        <v>0.73666666666666669</v>
      </c>
      <c r="C30" s="32">
        <f t="shared" ref="C30" si="26">AVERAGE(C27:C29)</f>
        <v>0.66666666666666663</v>
      </c>
      <c r="D30" s="32">
        <f t="shared" ref="D30" si="27">AVERAGE(D27:D29)</f>
        <v>0.73666666666666669</v>
      </c>
      <c r="E30" s="32">
        <f t="shared" ref="E30" si="28">AVERAGE(E27:E29)</f>
        <v>0.69000000000000006</v>
      </c>
      <c r="F30" s="32">
        <f t="shared" ref="F30" si="29">AVERAGE(F27:F29)</f>
        <v>0.54333333333333333</v>
      </c>
      <c r="G30" s="32">
        <f t="shared" ref="G30" si="30">AVERAGE(G27:G29)</f>
        <v>0.55666666666666675</v>
      </c>
      <c r="H30" s="32">
        <f t="shared" ref="H30" si="31">AVERAGE(H27:H29)</f>
        <v>0.6366666666666666</v>
      </c>
      <c r="I30" s="32">
        <f t="shared" ref="I30" si="32">AVERAGE(I27:I29)</f>
        <v>0.59666666666666668</v>
      </c>
      <c r="J30" s="32">
        <f t="shared" ref="J30" si="33">AVERAGE(J27:J29)</f>
        <v>0.45</v>
      </c>
      <c r="K30" s="32">
        <f t="shared" ref="K30" si="34">AVERAGE(K27:K29)</f>
        <v>0.57666666666666666</v>
      </c>
      <c r="L30" s="32">
        <f>AVERAGE(L27:L29)</f>
        <v>0.51333333333333331</v>
      </c>
      <c r="M30" s="32">
        <f t="shared" ref="M30" si="35">AVERAGE(M27:M29)</f>
        <v>0.52</v>
      </c>
      <c r="N30" s="32">
        <f t="shared" ref="N30" si="36">AVERAGE(N27:N29)</f>
        <v>0.83666666666666678</v>
      </c>
    </row>
    <row r="31" spans="1:14" x14ac:dyDescent="0.3">
      <c r="A31" s="30" t="s">
        <v>3</v>
      </c>
      <c r="B31" s="32">
        <f>STDEV(B27:B29)</f>
        <v>7.5055534994651354E-2</v>
      </c>
      <c r="C31" s="32">
        <f t="shared" ref="C31:N31" si="37">STDEV(C27:C29)</f>
        <v>8.6216781042516843E-2</v>
      </c>
      <c r="D31" s="32">
        <f t="shared" si="37"/>
        <v>9.4516312525052243E-2</v>
      </c>
      <c r="E31" s="32">
        <f t="shared" si="37"/>
        <v>4.5825756949558386E-2</v>
      </c>
      <c r="F31" s="32">
        <f t="shared" si="37"/>
        <v>8.0829037686547617E-2</v>
      </c>
      <c r="G31" s="32">
        <f t="shared" si="37"/>
        <v>0.1050396750439249</v>
      </c>
      <c r="H31" s="32">
        <f t="shared" si="37"/>
        <v>0.11150485789118521</v>
      </c>
      <c r="I31" s="32">
        <f t="shared" si="37"/>
        <v>0.14364307617610184</v>
      </c>
      <c r="J31" s="32">
        <f t="shared" si="37"/>
        <v>7.2111025509279669E-2</v>
      </c>
      <c r="K31" s="32">
        <f t="shared" si="37"/>
        <v>0.11718930554164649</v>
      </c>
      <c r="L31" s="32">
        <f t="shared" si="37"/>
        <v>0.1258305739211793</v>
      </c>
      <c r="M31" s="32">
        <f t="shared" si="37"/>
        <v>0.15099668870541513</v>
      </c>
      <c r="N31" s="32">
        <f t="shared" si="37"/>
        <v>0.17616280348965058</v>
      </c>
    </row>
  </sheetData>
  <mergeCells count="4">
    <mergeCell ref="A1:N1"/>
    <mergeCell ref="A9:N9"/>
    <mergeCell ref="A17:N17"/>
    <mergeCell ref="A25:N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B9BC-8A90-4549-9C6C-8893EE120190}">
  <dimension ref="B3:F165"/>
  <sheetViews>
    <sheetView workbookViewId="0">
      <selection activeCell="H13" sqref="H13"/>
    </sheetView>
  </sheetViews>
  <sheetFormatPr defaultRowHeight="14.4" x14ac:dyDescent="0.3"/>
  <cols>
    <col min="2" max="2" width="11.77734375" bestFit="1" customWidth="1"/>
    <col min="3" max="3" width="12.21875" bestFit="1" customWidth="1"/>
    <col min="4" max="4" width="12" bestFit="1" customWidth="1"/>
  </cols>
  <sheetData>
    <row r="3" spans="2:6" x14ac:dyDescent="0.3">
      <c r="B3" s="48" t="s">
        <v>82</v>
      </c>
      <c r="C3" s="48" t="s">
        <v>83</v>
      </c>
      <c r="D3" s="48" t="s">
        <v>84</v>
      </c>
      <c r="E3" s="30" t="s">
        <v>2</v>
      </c>
      <c r="F3" s="30" t="s">
        <v>3</v>
      </c>
    </row>
    <row r="4" spans="2:6" x14ac:dyDescent="0.3">
      <c r="B4" s="25">
        <v>0</v>
      </c>
      <c r="C4" s="25" t="s">
        <v>85</v>
      </c>
      <c r="D4" s="25">
        <v>0.50700000000000001</v>
      </c>
      <c r="E4" s="121">
        <f>AVERAGE(D4:D6)</f>
        <v>0.54599999999999993</v>
      </c>
      <c r="F4" s="121">
        <f>STDEV(D4:D6)</f>
        <v>5.5072679252057444E-2</v>
      </c>
    </row>
    <row r="5" spans="2:6" x14ac:dyDescent="0.3">
      <c r="B5" s="25">
        <v>0</v>
      </c>
      <c r="C5" s="25" t="s">
        <v>85</v>
      </c>
      <c r="D5" s="25">
        <v>0.52200000000000002</v>
      </c>
      <c r="E5" s="121"/>
      <c r="F5" s="121"/>
    </row>
    <row r="6" spans="2:6" x14ac:dyDescent="0.3">
      <c r="B6" s="25">
        <v>0</v>
      </c>
      <c r="C6" s="25" t="s">
        <v>85</v>
      </c>
      <c r="D6" s="25">
        <v>0.60899999999999999</v>
      </c>
      <c r="E6" s="121"/>
      <c r="F6" s="121"/>
    </row>
    <row r="7" spans="2:6" x14ac:dyDescent="0.3">
      <c r="B7" s="25">
        <v>2</v>
      </c>
      <c r="C7" s="25" t="s">
        <v>85</v>
      </c>
      <c r="D7" s="25">
        <v>0.52</v>
      </c>
      <c r="E7" s="121">
        <f>AVERAGE(D7:D9)</f>
        <v>0.55699999999999994</v>
      </c>
      <c r="F7" s="121">
        <f t="shared" ref="F7" si="0">STDEV(D7:D9)</f>
        <v>5.3225933528685036E-2</v>
      </c>
    </row>
    <row r="8" spans="2:6" x14ac:dyDescent="0.3">
      <c r="B8" s="25">
        <v>2</v>
      </c>
      <c r="C8" s="25" t="s">
        <v>85</v>
      </c>
      <c r="D8" s="25">
        <v>0.53300000000000003</v>
      </c>
      <c r="E8" s="121"/>
      <c r="F8" s="121"/>
    </row>
    <row r="9" spans="2:6" x14ac:dyDescent="0.3">
      <c r="B9" s="25">
        <v>2</v>
      </c>
      <c r="C9" s="25" t="s">
        <v>85</v>
      </c>
      <c r="D9" s="25">
        <v>0.61799999999999999</v>
      </c>
      <c r="E9" s="121"/>
      <c r="F9" s="121"/>
    </row>
    <row r="10" spans="2:6" x14ac:dyDescent="0.3">
      <c r="B10" s="25">
        <v>4</v>
      </c>
      <c r="C10" s="25" t="s">
        <v>85</v>
      </c>
      <c r="D10" s="25">
        <v>0.55400000000000005</v>
      </c>
      <c r="E10" s="121">
        <f>AVERAGE(D10:D12)</f>
        <v>0.58666666666666678</v>
      </c>
      <c r="F10" s="121">
        <f t="shared" ref="F10" si="1">STDEV(D10:D12)</f>
        <v>5.3153864707407038E-2</v>
      </c>
    </row>
    <row r="11" spans="2:6" x14ac:dyDescent="0.3">
      <c r="B11" s="25">
        <v>4</v>
      </c>
      <c r="C11" s="25" t="s">
        <v>85</v>
      </c>
      <c r="D11" s="25">
        <v>0.55800000000000005</v>
      </c>
      <c r="E11" s="121"/>
      <c r="F11" s="121"/>
    </row>
    <row r="12" spans="2:6" x14ac:dyDescent="0.3">
      <c r="B12" s="25">
        <v>4</v>
      </c>
      <c r="C12" s="25" t="s">
        <v>85</v>
      </c>
      <c r="D12" s="25">
        <v>0.64800000000000002</v>
      </c>
      <c r="E12" s="121"/>
      <c r="F12" s="121"/>
    </row>
    <row r="13" spans="2:6" x14ac:dyDescent="0.3">
      <c r="B13" s="25">
        <v>6</v>
      </c>
      <c r="C13" s="25" t="s">
        <v>85</v>
      </c>
      <c r="D13" s="25">
        <v>0.70099999999999996</v>
      </c>
      <c r="E13" s="121">
        <f>AVERAGE(D13:D15)</f>
        <v>0.71133333333333326</v>
      </c>
      <c r="F13" s="121">
        <f t="shared" ref="F13" si="2">STDEV(D13:D15)</f>
        <v>5.9180514811323956E-2</v>
      </c>
    </row>
    <row r="14" spans="2:6" x14ac:dyDescent="0.3">
      <c r="B14" s="25">
        <v>6</v>
      </c>
      <c r="C14" s="25" t="s">
        <v>85</v>
      </c>
      <c r="D14" s="25">
        <v>0.65800000000000003</v>
      </c>
      <c r="E14" s="121"/>
      <c r="F14" s="121"/>
    </row>
    <row r="15" spans="2:6" x14ac:dyDescent="0.3">
      <c r="B15" s="25">
        <v>6</v>
      </c>
      <c r="C15" s="25" t="s">
        <v>85</v>
      </c>
      <c r="D15" s="25">
        <v>0.77500000000000002</v>
      </c>
      <c r="E15" s="121"/>
      <c r="F15" s="121"/>
    </row>
    <row r="16" spans="2:6" x14ac:dyDescent="0.3">
      <c r="B16" s="25">
        <v>8</v>
      </c>
      <c r="C16" s="25" t="s">
        <v>85</v>
      </c>
      <c r="D16" s="25">
        <v>1.65</v>
      </c>
      <c r="E16" s="121">
        <f>AVERAGE(D16:D18)</f>
        <v>1.2016666666666667</v>
      </c>
      <c r="F16" s="121">
        <f t="shared" ref="F16" si="3">STDEV(D16:D18)</f>
        <v>0.40866653072319609</v>
      </c>
    </row>
    <row r="17" spans="2:6" x14ac:dyDescent="0.3">
      <c r="B17" s="25">
        <v>8</v>
      </c>
      <c r="C17" s="25" t="s">
        <v>85</v>
      </c>
      <c r="D17" s="25">
        <v>0.85</v>
      </c>
      <c r="E17" s="121"/>
      <c r="F17" s="121"/>
    </row>
    <row r="18" spans="2:6" x14ac:dyDescent="0.3">
      <c r="B18" s="25">
        <v>8</v>
      </c>
      <c r="C18" s="25" t="s">
        <v>85</v>
      </c>
      <c r="D18" s="25">
        <v>1.105</v>
      </c>
      <c r="E18" s="121"/>
      <c r="F18" s="121"/>
    </row>
    <row r="19" spans="2:6" x14ac:dyDescent="0.3">
      <c r="B19" s="25">
        <v>10</v>
      </c>
      <c r="C19" s="25" t="s">
        <v>85</v>
      </c>
      <c r="D19" s="25">
        <v>2.2639999999999998</v>
      </c>
      <c r="E19" s="121">
        <f>AVERAGE(D19:D21)</f>
        <v>2.113</v>
      </c>
      <c r="F19" s="121">
        <f t="shared" ref="F19" si="4">STDEV(D19:D21)</f>
        <v>0.24273648263085626</v>
      </c>
    </row>
    <row r="20" spans="2:6" x14ac:dyDescent="0.3">
      <c r="B20" s="25">
        <v>10</v>
      </c>
      <c r="C20" s="25" t="s">
        <v>85</v>
      </c>
      <c r="D20" s="25">
        <v>1.833</v>
      </c>
      <c r="E20" s="121"/>
      <c r="F20" s="121"/>
    </row>
    <row r="21" spans="2:6" x14ac:dyDescent="0.3">
      <c r="B21" s="25">
        <v>10</v>
      </c>
      <c r="C21" s="25" t="s">
        <v>85</v>
      </c>
      <c r="D21" s="25">
        <v>2.242</v>
      </c>
      <c r="E21" s="121"/>
      <c r="F21" s="121"/>
    </row>
    <row r="22" spans="2:6" x14ac:dyDescent="0.3">
      <c r="B22" s="25">
        <v>12</v>
      </c>
      <c r="C22" s="25" t="s">
        <v>85</v>
      </c>
      <c r="D22" s="25">
        <v>2.3380000000000001</v>
      </c>
      <c r="E22" s="121">
        <f>AVERAGE(D22:D24)</f>
        <v>2.4023333333333334</v>
      </c>
      <c r="F22" s="121">
        <f t="shared" ref="F22" si="5">STDEV(D22:D24)</f>
        <v>0.1122957404950576</v>
      </c>
    </row>
    <row r="23" spans="2:6" x14ac:dyDescent="0.3">
      <c r="B23" s="25">
        <v>12</v>
      </c>
      <c r="C23" s="25" t="s">
        <v>85</v>
      </c>
      <c r="D23" s="25">
        <v>2.3370000000000002</v>
      </c>
      <c r="E23" s="121"/>
      <c r="F23" s="121"/>
    </row>
    <row r="24" spans="2:6" x14ac:dyDescent="0.3">
      <c r="B24" s="25">
        <v>12</v>
      </c>
      <c r="C24" s="25" t="s">
        <v>85</v>
      </c>
      <c r="D24" s="25">
        <v>2.532</v>
      </c>
      <c r="E24" s="121"/>
      <c r="F24" s="121"/>
    </row>
    <row r="25" spans="2:6" x14ac:dyDescent="0.3">
      <c r="B25" s="25">
        <v>14</v>
      </c>
      <c r="C25" s="25" t="s">
        <v>85</v>
      </c>
      <c r="D25" s="25">
        <v>2.3809999999999998</v>
      </c>
      <c r="E25" s="121">
        <f>AVERAGE(D25:D27)</f>
        <v>2.4670000000000001</v>
      </c>
      <c r="F25" s="121">
        <f t="shared" ref="F25" si="6">STDEV(D25:D27)</f>
        <v>0.11914696806885207</v>
      </c>
    </row>
    <row r="26" spans="2:6" x14ac:dyDescent="0.3">
      <c r="B26" s="25">
        <v>14</v>
      </c>
      <c r="C26" s="25" t="s">
        <v>85</v>
      </c>
      <c r="D26" s="25">
        <v>2.4169999999999998</v>
      </c>
      <c r="E26" s="121"/>
      <c r="F26" s="121"/>
    </row>
    <row r="27" spans="2:6" x14ac:dyDescent="0.3">
      <c r="B27" s="25">
        <v>14</v>
      </c>
      <c r="C27" s="25" t="s">
        <v>85</v>
      </c>
      <c r="D27" s="25">
        <v>2.6030000000000002</v>
      </c>
      <c r="E27" s="121"/>
      <c r="F27" s="121"/>
    </row>
    <row r="28" spans="2:6" x14ac:dyDescent="0.3">
      <c r="B28" s="25">
        <v>16</v>
      </c>
      <c r="C28" s="25" t="s">
        <v>85</v>
      </c>
      <c r="D28" s="25">
        <v>2.4049999999999998</v>
      </c>
      <c r="E28" s="121">
        <f>AVERAGE(D28:D30)</f>
        <v>2.4969999999999999</v>
      </c>
      <c r="F28" s="121">
        <f t="shared" ref="F28" si="7">STDEV(D28:D30)</f>
        <v>0.11945291959596478</v>
      </c>
    </row>
    <row r="29" spans="2:6" x14ac:dyDescent="0.3">
      <c r="B29" s="25">
        <v>16</v>
      </c>
      <c r="C29" s="25" t="s">
        <v>85</v>
      </c>
      <c r="D29" s="25">
        <v>2.4540000000000002</v>
      </c>
      <c r="E29" s="121"/>
      <c r="F29" s="121"/>
    </row>
    <row r="30" spans="2:6" x14ac:dyDescent="0.3">
      <c r="B30" s="25">
        <v>16</v>
      </c>
      <c r="C30" s="25" t="s">
        <v>85</v>
      </c>
      <c r="D30" s="25">
        <v>2.6320000000000001</v>
      </c>
      <c r="E30" s="121"/>
      <c r="F30" s="121"/>
    </row>
    <row r="31" spans="2:6" x14ac:dyDescent="0.3">
      <c r="B31" s="25">
        <v>18</v>
      </c>
      <c r="C31" s="25" t="s">
        <v>85</v>
      </c>
      <c r="D31" s="25">
        <v>2.4180000000000001</v>
      </c>
      <c r="E31" s="121">
        <f>AVERAGE(D31:D33)</f>
        <v>2.5140000000000002</v>
      </c>
      <c r="F31" s="121">
        <f t="shared" ref="F31" si="8">STDEV(D31:D33)</f>
        <v>0.12252346713997285</v>
      </c>
    </row>
    <row r="32" spans="2:6" x14ac:dyDescent="0.3">
      <c r="B32" s="25">
        <v>18</v>
      </c>
      <c r="C32" s="25" t="s">
        <v>85</v>
      </c>
      <c r="D32" s="25">
        <v>2.472</v>
      </c>
      <c r="E32" s="121"/>
      <c r="F32" s="121"/>
    </row>
    <row r="33" spans="2:6" x14ac:dyDescent="0.3">
      <c r="B33" s="25">
        <v>18</v>
      </c>
      <c r="C33" s="25" t="s">
        <v>85</v>
      </c>
      <c r="D33" s="25">
        <v>2.6520000000000001</v>
      </c>
      <c r="E33" s="121"/>
      <c r="F33" s="121"/>
    </row>
    <row r="34" spans="2:6" x14ac:dyDescent="0.3">
      <c r="B34" s="25">
        <v>20</v>
      </c>
      <c r="C34" s="25" t="s">
        <v>85</v>
      </c>
      <c r="D34" s="25">
        <v>2.4220000000000002</v>
      </c>
      <c r="E34" s="121">
        <f>AVERAGE(D34:D36)</f>
        <v>2.5183333333333331</v>
      </c>
      <c r="F34" s="121">
        <f t="shared" ref="F34" si="9">STDEV(D34:D36)</f>
        <v>0.12162373671834492</v>
      </c>
    </row>
    <row r="35" spans="2:6" x14ac:dyDescent="0.3">
      <c r="B35" s="25">
        <v>20</v>
      </c>
      <c r="C35" s="25" t="s">
        <v>85</v>
      </c>
      <c r="D35" s="25">
        <v>2.4780000000000002</v>
      </c>
      <c r="E35" s="121"/>
      <c r="F35" s="121"/>
    </row>
    <row r="36" spans="2:6" x14ac:dyDescent="0.3">
      <c r="B36" s="25">
        <v>20</v>
      </c>
      <c r="C36" s="25" t="s">
        <v>85</v>
      </c>
      <c r="D36" s="25">
        <v>2.6549999999999998</v>
      </c>
      <c r="E36" s="121"/>
      <c r="F36" s="121"/>
    </row>
    <row r="37" spans="2:6" x14ac:dyDescent="0.3">
      <c r="B37" s="25">
        <v>22</v>
      </c>
      <c r="C37" s="25" t="s">
        <v>85</v>
      </c>
      <c r="D37" s="25">
        <v>2.4340000000000002</v>
      </c>
      <c r="E37" s="121">
        <f>AVERAGE(D37:D39)</f>
        <v>2.5300000000000002</v>
      </c>
      <c r="F37" s="121">
        <f t="shared" ref="F37" si="10">STDEV(D37:D39)</f>
        <v>0.12033702672078941</v>
      </c>
    </row>
    <row r="38" spans="2:6" x14ac:dyDescent="0.3">
      <c r="B38" s="25">
        <v>22</v>
      </c>
      <c r="C38" s="25" t="s">
        <v>85</v>
      </c>
      <c r="D38" s="25">
        <v>2.4910000000000001</v>
      </c>
      <c r="E38" s="121"/>
      <c r="F38" s="121"/>
    </row>
    <row r="39" spans="2:6" x14ac:dyDescent="0.3">
      <c r="B39" s="25">
        <v>22</v>
      </c>
      <c r="C39" s="25" t="s">
        <v>85</v>
      </c>
      <c r="D39" s="25">
        <v>2.665</v>
      </c>
      <c r="E39" s="121"/>
      <c r="F39" s="121"/>
    </row>
    <row r="40" spans="2:6" x14ac:dyDescent="0.3">
      <c r="B40" s="25">
        <v>25</v>
      </c>
      <c r="C40" s="25" t="s">
        <v>85</v>
      </c>
      <c r="D40" s="25">
        <v>2.4409999999999998</v>
      </c>
      <c r="E40" s="121">
        <f>AVERAGE(D40:D42)</f>
        <v>2.5383333333333336</v>
      </c>
      <c r="F40" s="121">
        <f t="shared" ref="F40" si="11">STDEV(D40:D42)</f>
        <v>0.11900140055198224</v>
      </c>
    </row>
    <row r="41" spans="2:6" x14ac:dyDescent="0.3">
      <c r="B41" s="25">
        <v>25</v>
      </c>
      <c r="C41" s="25" t="s">
        <v>85</v>
      </c>
      <c r="D41" s="25">
        <v>2.5030000000000001</v>
      </c>
      <c r="E41" s="121"/>
      <c r="F41" s="121"/>
    </row>
    <row r="42" spans="2:6" x14ac:dyDescent="0.3">
      <c r="B42" s="25">
        <v>25</v>
      </c>
      <c r="C42" s="25" t="s">
        <v>85</v>
      </c>
      <c r="D42" s="25">
        <v>2.6709999999999998</v>
      </c>
      <c r="E42" s="121"/>
      <c r="F42" s="121"/>
    </row>
    <row r="43" spans="2:6" x14ac:dyDescent="0.3">
      <c r="B43" s="25">
        <v>30</v>
      </c>
      <c r="C43" s="25" t="s">
        <v>85</v>
      </c>
      <c r="D43" s="25">
        <v>2.4489999999999998</v>
      </c>
      <c r="E43" s="121">
        <f>AVERAGE(D43:D45)</f>
        <v>2.5459999999999998</v>
      </c>
      <c r="F43" s="121">
        <f t="shared" ref="F43" si="12">STDEV(D43:D45)</f>
        <v>0.11774124171249435</v>
      </c>
    </row>
    <row r="44" spans="2:6" x14ac:dyDescent="0.3">
      <c r="B44" s="25">
        <v>30</v>
      </c>
      <c r="C44" s="25" t="s">
        <v>85</v>
      </c>
      <c r="D44" s="25">
        <v>2.512</v>
      </c>
      <c r="E44" s="121"/>
      <c r="F44" s="121"/>
    </row>
    <row r="45" spans="2:6" x14ac:dyDescent="0.3">
      <c r="B45" s="25">
        <v>30</v>
      </c>
      <c r="C45" s="25" t="s">
        <v>85</v>
      </c>
      <c r="D45" s="25">
        <v>2.677</v>
      </c>
      <c r="E45" s="121"/>
      <c r="F45" s="121"/>
    </row>
    <row r="46" spans="2:6" x14ac:dyDescent="0.3">
      <c r="B46" s="25">
        <v>35</v>
      </c>
      <c r="C46" s="25" t="s">
        <v>85</v>
      </c>
      <c r="D46" s="25">
        <v>2.456</v>
      </c>
      <c r="E46" s="121">
        <f>AVERAGE(D46:D48)</f>
        <v>2.5543333333333331</v>
      </c>
      <c r="F46" s="121">
        <f t="shared" ref="F46" si="13">STDEV(D46:D48)</f>
        <v>0.12209968604928235</v>
      </c>
    </row>
    <row r="47" spans="2:6" x14ac:dyDescent="0.3">
      <c r="B47" s="25">
        <v>35</v>
      </c>
      <c r="C47" s="25" t="s">
        <v>85</v>
      </c>
      <c r="D47" s="25">
        <v>2.516</v>
      </c>
      <c r="E47" s="121"/>
      <c r="F47" s="121"/>
    </row>
    <row r="48" spans="2:6" x14ac:dyDescent="0.3">
      <c r="B48" s="25">
        <v>35</v>
      </c>
      <c r="C48" s="25" t="s">
        <v>85</v>
      </c>
      <c r="D48" s="25">
        <v>2.6909999999999998</v>
      </c>
      <c r="E48" s="121"/>
      <c r="F48" s="121"/>
    </row>
    <row r="49" spans="2:6" x14ac:dyDescent="0.3">
      <c r="B49" s="25">
        <v>40</v>
      </c>
      <c r="C49" s="25" t="s">
        <v>85</v>
      </c>
      <c r="D49" s="25">
        <v>2.456</v>
      </c>
      <c r="E49" s="121">
        <f>AVERAGE(D49:D51)</f>
        <v>2.5513333333333335</v>
      </c>
      <c r="F49" s="121">
        <f t="shared" ref="F49" si="14">STDEV(D49:D51)</f>
        <v>0.11706977976118912</v>
      </c>
    </row>
    <row r="50" spans="2:6" x14ac:dyDescent="0.3">
      <c r="B50" s="25">
        <v>40</v>
      </c>
      <c r="C50" s="25" t="s">
        <v>85</v>
      </c>
      <c r="D50" s="25">
        <v>2.516</v>
      </c>
      <c r="E50" s="121"/>
      <c r="F50" s="121"/>
    </row>
    <row r="51" spans="2:6" x14ac:dyDescent="0.3">
      <c r="B51" s="25">
        <v>40</v>
      </c>
      <c r="C51" s="25" t="s">
        <v>85</v>
      </c>
      <c r="D51" s="25">
        <v>2.6819999999999999</v>
      </c>
      <c r="E51" s="121"/>
      <c r="F51" s="121"/>
    </row>
    <row r="52" spans="2:6" x14ac:dyDescent="0.3">
      <c r="B52" s="25">
        <v>50</v>
      </c>
      <c r="C52" s="25" t="s">
        <v>85</v>
      </c>
      <c r="D52" s="25">
        <v>2.456</v>
      </c>
      <c r="E52" s="121">
        <f>AVERAGE(D52:D54)</f>
        <v>2.5526666666666666</v>
      </c>
      <c r="F52" s="121">
        <f t="shared" ref="F52" si="15">STDEV(D52:D54)</f>
        <v>0.11930353445448852</v>
      </c>
    </row>
    <row r="53" spans="2:6" x14ac:dyDescent="0.3">
      <c r="B53" s="25">
        <v>50</v>
      </c>
      <c r="C53" s="25" t="s">
        <v>85</v>
      </c>
      <c r="D53" s="25">
        <v>2.516</v>
      </c>
      <c r="E53" s="121"/>
      <c r="F53" s="121"/>
    </row>
    <row r="54" spans="2:6" x14ac:dyDescent="0.3">
      <c r="B54" s="25">
        <v>50</v>
      </c>
      <c r="C54" s="25" t="s">
        <v>85</v>
      </c>
      <c r="D54" s="25">
        <v>2.6859999999999999</v>
      </c>
      <c r="E54" s="121"/>
      <c r="F54" s="121"/>
    </row>
    <row r="55" spans="2:6" x14ac:dyDescent="0.3">
      <c r="B55" s="25">
        <v>60</v>
      </c>
      <c r="C55" s="25" t="s">
        <v>85</v>
      </c>
      <c r="D55" s="25">
        <v>2.4489999999999998</v>
      </c>
      <c r="E55" s="121">
        <f>AVERAGE(D55:D57)</f>
        <v>2.5500000000000003</v>
      </c>
      <c r="F55" s="121">
        <f t="shared" ref="F55" si="16">STDEV(D55:D57)</f>
        <v>0.12231516668017914</v>
      </c>
    </row>
    <row r="56" spans="2:6" x14ac:dyDescent="0.3">
      <c r="B56" s="25">
        <v>60</v>
      </c>
      <c r="C56" s="25" t="s">
        <v>85</v>
      </c>
      <c r="D56" s="25">
        <v>2.5150000000000001</v>
      </c>
      <c r="E56" s="121"/>
      <c r="F56" s="121"/>
    </row>
    <row r="57" spans="2:6" x14ac:dyDescent="0.3">
      <c r="B57" s="25">
        <v>60</v>
      </c>
      <c r="C57" s="25" t="s">
        <v>85</v>
      </c>
      <c r="D57" s="25">
        <v>2.6859999999999999</v>
      </c>
      <c r="E57" s="121"/>
      <c r="F57" s="121"/>
    </row>
    <row r="58" spans="2:6" x14ac:dyDescent="0.3">
      <c r="B58" s="25">
        <v>0</v>
      </c>
      <c r="C58" s="25" t="s">
        <v>86</v>
      </c>
      <c r="D58" s="25">
        <v>0.30299999999999999</v>
      </c>
      <c r="E58" s="121">
        <f>AVERAGE(D58:D60)</f>
        <v>0.30833333333333335</v>
      </c>
      <c r="F58" s="121">
        <f t="shared" ref="F58" si="17">STDEV(D58:D60)</f>
        <v>6.1101009266077916E-3</v>
      </c>
    </row>
    <row r="59" spans="2:6" x14ac:dyDescent="0.3">
      <c r="B59" s="25">
        <v>0</v>
      </c>
      <c r="C59" s="25" t="s">
        <v>86</v>
      </c>
      <c r="D59" s="25">
        <v>0.315</v>
      </c>
      <c r="E59" s="121"/>
      <c r="F59" s="121"/>
    </row>
    <row r="60" spans="2:6" x14ac:dyDescent="0.3">
      <c r="B60" s="25">
        <v>0</v>
      </c>
      <c r="C60" s="25" t="s">
        <v>86</v>
      </c>
      <c r="D60" s="25">
        <v>0.307</v>
      </c>
      <c r="E60" s="121"/>
      <c r="F60" s="121"/>
    </row>
    <row r="61" spans="2:6" x14ac:dyDescent="0.3">
      <c r="B61" s="25">
        <v>2</v>
      </c>
      <c r="C61" s="25" t="s">
        <v>86</v>
      </c>
      <c r="D61" s="25">
        <v>0.32200000000000001</v>
      </c>
      <c r="E61" s="121">
        <f>AVERAGE(D61:D63)</f>
        <v>0.32533333333333331</v>
      </c>
      <c r="F61" s="121">
        <f t="shared" ref="F61" si="18">STDEV(D61:D63)</f>
        <v>4.9328828623162518E-3</v>
      </c>
    </row>
    <row r="62" spans="2:6" x14ac:dyDescent="0.3">
      <c r="B62" s="25">
        <v>2</v>
      </c>
      <c r="C62" s="25" t="s">
        <v>86</v>
      </c>
      <c r="D62" s="25">
        <v>0.33100000000000002</v>
      </c>
      <c r="E62" s="121"/>
      <c r="F62" s="121"/>
    </row>
    <row r="63" spans="2:6" x14ac:dyDescent="0.3">
      <c r="B63" s="25">
        <v>2</v>
      </c>
      <c r="C63" s="25" t="s">
        <v>86</v>
      </c>
      <c r="D63" s="25">
        <v>0.32300000000000001</v>
      </c>
      <c r="E63" s="121"/>
      <c r="F63" s="121"/>
    </row>
    <row r="64" spans="2:6" x14ac:dyDescent="0.3">
      <c r="B64" s="25">
        <v>4</v>
      </c>
      <c r="C64" s="25" t="s">
        <v>86</v>
      </c>
      <c r="D64" s="25">
        <v>0.42499999999999999</v>
      </c>
      <c r="E64" s="121">
        <f>AVERAGE(D64:D66)</f>
        <v>0.40599999999999997</v>
      </c>
      <c r="F64" s="121">
        <f t="shared" ref="F64" si="19">STDEV(D64:D66)</f>
        <v>1.6522711641858288E-2</v>
      </c>
    </row>
    <row r="65" spans="2:6" x14ac:dyDescent="0.3">
      <c r="B65" s="25">
        <v>4</v>
      </c>
      <c r="C65" s="25" t="s">
        <v>86</v>
      </c>
      <c r="D65" s="25">
        <v>0.39500000000000002</v>
      </c>
      <c r="E65" s="121"/>
      <c r="F65" s="121"/>
    </row>
    <row r="66" spans="2:6" x14ac:dyDescent="0.3">
      <c r="B66" s="25">
        <v>4</v>
      </c>
      <c r="C66" s="25" t="s">
        <v>86</v>
      </c>
      <c r="D66" s="25">
        <v>0.39800000000000002</v>
      </c>
      <c r="E66" s="121"/>
      <c r="F66" s="121"/>
    </row>
    <row r="67" spans="2:6" x14ac:dyDescent="0.3">
      <c r="B67" s="25">
        <v>6</v>
      </c>
      <c r="C67" s="25" t="s">
        <v>86</v>
      </c>
      <c r="D67" s="25">
        <v>0.82899999999999996</v>
      </c>
      <c r="E67" s="121">
        <f>AVERAGE(D67:D69)</f>
        <v>0.65066666666666662</v>
      </c>
      <c r="F67" s="121">
        <f t="shared" ref="F67" si="20">STDEV(D67:D69)</f>
        <v>0.15486876164460434</v>
      </c>
    </row>
    <row r="68" spans="2:6" x14ac:dyDescent="0.3">
      <c r="B68" s="25">
        <v>6</v>
      </c>
      <c r="C68" s="25" t="s">
        <v>86</v>
      </c>
      <c r="D68" s="25">
        <v>0.55000000000000004</v>
      </c>
      <c r="E68" s="121"/>
      <c r="F68" s="121"/>
    </row>
    <row r="69" spans="2:6" x14ac:dyDescent="0.3">
      <c r="B69" s="25">
        <v>6</v>
      </c>
      <c r="C69" s="25" t="s">
        <v>86</v>
      </c>
      <c r="D69" s="25">
        <v>0.57299999999999995</v>
      </c>
      <c r="E69" s="121"/>
      <c r="F69" s="121"/>
    </row>
    <row r="70" spans="2:6" x14ac:dyDescent="0.3">
      <c r="B70" s="25">
        <v>8</v>
      </c>
      <c r="C70" s="25" t="s">
        <v>86</v>
      </c>
      <c r="D70" s="25">
        <v>2.0430000000000001</v>
      </c>
      <c r="E70" s="121">
        <f>AVERAGE(D70:D72)</f>
        <v>1.7276666666666667</v>
      </c>
      <c r="F70" s="121">
        <f t="shared" ref="F70" si="21">STDEV(D70:D72)</f>
        <v>0.29670243230100674</v>
      </c>
    </row>
    <row r="71" spans="2:6" x14ac:dyDescent="0.3">
      <c r="B71" s="25">
        <v>8</v>
      </c>
      <c r="C71" s="25" t="s">
        <v>86</v>
      </c>
      <c r="D71" s="25">
        <v>1.454</v>
      </c>
      <c r="E71" s="121"/>
      <c r="F71" s="121"/>
    </row>
    <row r="72" spans="2:6" x14ac:dyDescent="0.3">
      <c r="B72" s="25">
        <v>8</v>
      </c>
      <c r="C72" s="25" t="s">
        <v>86</v>
      </c>
      <c r="D72" s="25">
        <v>1.6859999999999999</v>
      </c>
      <c r="E72" s="121"/>
      <c r="F72" s="121"/>
    </row>
    <row r="73" spans="2:6" x14ac:dyDescent="0.3">
      <c r="B73" s="25">
        <v>10</v>
      </c>
      <c r="C73" s="25" t="s">
        <v>86</v>
      </c>
      <c r="D73" s="25">
        <v>2.173</v>
      </c>
      <c r="E73" s="121">
        <f>AVERAGE(D73:D75)</f>
        <v>2.2069999999999999</v>
      </c>
      <c r="F73" s="121">
        <f t="shared" ref="F73" si="22">STDEV(D73:D75)</f>
        <v>2.986636904613614E-2</v>
      </c>
    </row>
    <row r="74" spans="2:6" x14ac:dyDescent="0.3">
      <c r="B74" s="25">
        <v>10</v>
      </c>
      <c r="C74" s="25" t="s">
        <v>86</v>
      </c>
      <c r="D74" s="25">
        <v>2.2189999999999999</v>
      </c>
      <c r="E74" s="121"/>
      <c r="F74" s="121"/>
    </row>
    <row r="75" spans="2:6" x14ac:dyDescent="0.3">
      <c r="B75" s="25">
        <v>10</v>
      </c>
      <c r="C75" s="25" t="s">
        <v>86</v>
      </c>
      <c r="D75" s="25">
        <v>2.2290000000000001</v>
      </c>
      <c r="E75" s="121"/>
      <c r="F75" s="121"/>
    </row>
    <row r="76" spans="2:6" x14ac:dyDescent="0.3">
      <c r="B76" s="25">
        <v>12</v>
      </c>
      <c r="C76" s="25" t="s">
        <v>86</v>
      </c>
      <c r="D76" s="25">
        <v>2.2229999999999999</v>
      </c>
      <c r="E76" s="121">
        <f>AVERAGE(D76:D78)</f>
        <v>2.2710000000000004</v>
      </c>
      <c r="F76" s="121">
        <f t="shared" ref="F76" si="23">STDEV(D76:D78)</f>
        <v>4.1617304093369785E-2</v>
      </c>
    </row>
    <row r="77" spans="2:6" x14ac:dyDescent="0.3">
      <c r="B77" s="25">
        <v>12</v>
      </c>
      <c r="C77" s="25" t="s">
        <v>86</v>
      </c>
      <c r="D77" s="25">
        <v>2.2930000000000001</v>
      </c>
      <c r="E77" s="121"/>
      <c r="F77" s="121"/>
    </row>
    <row r="78" spans="2:6" x14ac:dyDescent="0.3">
      <c r="B78" s="25">
        <v>12</v>
      </c>
      <c r="C78" s="25" t="s">
        <v>86</v>
      </c>
      <c r="D78" s="25">
        <v>2.2970000000000002</v>
      </c>
      <c r="E78" s="121"/>
      <c r="F78" s="121"/>
    </row>
    <row r="79" spans="2:6" x14ac:dyDescent="0.3">
      <c r="B79" s="25">
        <v>14</v>
      </c>
      <c r="C79" s="25" t="s">
        <v>86</v>
      </c>
      <c r="D79" s="25">
        <v>2.2480000000000002</v>
      </c>
      <c r="E79" s="121">
        <f>AVERAGE(D79:D81)</f>
        <v>2.302</v>
      </c>
      <c r="F79" s="121">
        <f t="shared" ref="F79" si="24">STDEV(D79:D81)</f>
        <v>4.6861498055439772E-2</v>
      </c>
    </row>
    <row r="80" spans="2:6" x14ac:dyDescent="0.3">
      <c r="B80" s="25">
        <v>14</v>
      </c>
      <c r="C80" s="25" t="s">
        <v>86</v>
      </c>
      <c r="D80" s="25">
        <v>2.3319999999999999</v>
      </c>
      <c r="E80" s="121"/>
      <c r="F80" s="121"/>
    </row>
    <row r="81" spans="2:6" x14ac:dyDescent="0.3">
      <c r="B81" s="25">
        <v>14</v>
      </c>
      <c r="C81" s="25" t="s">
        <v>86</v>
      </c>
      <c r="D81" s="25">
        <v>2.3260000000000001</v>
      </c>
      <c r="E81" s="121"/>
      <c r="F81" s="121"/>
    </row>
    <row r="82" spans="2:6" x14ac:dyDescent="0.3">
      <c r="B82" s="25">
        <v>16</v>
      </c>
      <c r="C82" s="25" t="s">
        <v>86</v>
      </c>
      <c r="D82" s="25">
        <v>2.2669999999999999</v>
      </c>
      <c r="E82" s="121">
        <f>AVERAGE(D82:D84)</f>
        <v>2.3243333333333331</v>
      </c>
      <c r="F82" s="121">
        <f t="shared" ref="F82" si="25">STDEV(D82:D84)</f>
        <v>4.9692387076224642E-2</v>
      </c>
    </row>
    <row r="83" spans="2:6" x14ac:dyDescent="0.3">
      <c r="B83" s="25">
        <v>16</v>
      </c>
      <c r="C83" s="25" t="s">
        <v>86</v>
      </c>
      <c r="D83" s="25">
        <v>2.355</v>
      </c>
      <c r="E83" s="121"/>
      <c r="F83" s="121"/>
    </row>
    <row r="84" spans="2:6" x14ac:dyDescent="0.3">
      <c r="B84" s="25">
        <v>16</v>
      </c>
      <c r="C84" s="25" t="s">
        <v>86</v>
      </c>
      <c r="D84" s="25">
        <v>2.351</v>
      </c>
      <c r="E84" s="121"/>
      <c r="F84" s="121"/>
    </row>
    <row r="85" spans="2:6" x14ac:dyDescent="0.3">
      <c r="B85" s="25">
        <v>18</v>
      </c>
      <c r="C85" s="25" t="s">
        <v>86</v>
      </c>
      <c r="D85" s="25">
        <v>2.2770000000000001</v>
      </c>
      <c r="E85" s="121">
        <f>AVERAGE(D85:D87)</f>
        <v>2.3366666666666664</v>
      </c>
      <c r="F85" s="121">
        <f t="shared" ref="F85" si="26">STDEV(D85:D87)</f>
        <v>5.1791247651831372E-2</v>
      </c>
    </row>
    <row r="86" spans="2:6" x14ac:dyDescent="0.3">
      <c r="B86" s="25">
        <v>18</v>
      </c>
      <c r="C86" s="25" t="s">
        <v>86</v>
      </c>
      <c r="D86" s="25">
        <v>2.37</v>
      </c>
      <c r="E86" s="121"/>
      <c r="F86" s="121"/>
    </row>
    <row r="87" spans="2:6" x14ac:dyDescent="0.3">
      <c r="B87" s="25">
        <v>18</v>
      </c>
      <c r="C87" s="25" t="s">
        <v>86</v>
      </c>
      <c r="D87" s="25">
        <v>2.363</v>
      </c>
      <c r="E87" s="121"/>
      <c r="F87" s="121"/>
    </row>
    <row r="88" spans="2:6" x14ac:dyDescent="0.3">
      <c r="B88" s="25">
        <v>20</v>
      </c>
      <c r="C88" s="25" t="s">
        <v>86</v>
      </c>
      <c r="D88" s="25">
        <v>2.282</v>
      </c>
      <c r="E88" s="121">
        <f>AVERAGE(D88:D90)</f>
        <v>2.3436666666666666</v>
      </c>
      <c r="F88" s="121">
        <f t="shared" ref="F88" si="27">STDEV(D88:D90)</f>
        <v>5.3594153910042602E-2</v>
      </c>
    </row>
    <row r="89" spans="2:6" x14ac:dyDescent="0.3">
      <c r="B89" s="25">
        <v>20</v>
      </c>
      <c r="C89" s="25" t="s">
        <v>86</v>
      </c>
      <c r="D89" s="25">
        <v>2.379</v>
      </c>
      <c r="E89" s="121"/>
      <c r="F89" s="121"/>
    </row>
    <row r="90" spans="2:6" x14ac:dyDescent="0.3">
      <c r="B90" s="25">
        <v>20</v>
      </c>
      <c r="C90" s="25" t="s">
        <v>86</v>
      </c>
      <c r="D90" s="25">
        <v>2.37</v>
      </c>
      <c r="E90" s="121"/>
      <c r="F90" s="121"/>
    </row>
    <row r="91" spans="2:6" x14ac:dyDescent="0.3">
      <c r="B91" s="25">
        <v>22</v>
      </c>
      <c r="C91" s="25" t="s">
        <v>86</v>
      </c>
      <c r="D91" s="25">
        <v>2.29</v>
      </c>
      <c r="E91" s="121">
        <f>AVERAGE(D91:D93)</f>
        <v>2.3516666666666666</v>
      </c>
      <c r="F91" s="121">
        <f t="shared" ref="F91" si="28">STDEV(D91:D93)</f>
        <v>5.3687366608293631E-2</v>
      </c>
    </row>
    <row r="92" spans="2:6" x14ac:dyDescent="0.3">
      <c r="B92" s="25">
        <v>22</v>
      </c>
      <c r="C92" s="25" t="s">
        <v>86</v>
      </c>
      <c r="D92" s="25">
        <v>2.3879999999999999</v>
      </c>
      <c r="E92" s="121"/>
      <c r="F92" s="121"/>
    </row>
    <row r="93" spans="2:6" x14ac:dyDescent="0.3">
      <c r="B93" s="25">
        <v>22</v>
      </c>
      <c r="C93" s="25" t="s">
        <v>86</v>
      </c>
      <c r="D93" s="25">
        <v>2.3769999999999998</v>
      </c>
      <c r="E93" s="121"/>
      <c r="F93" s="121"/>
    </row>
    <row r="94" spans="2:6" x14ac:dyDescent="0.3">
      <c r="B94" s="25">
        <v>25</v>
      </c>
      <c r="C94" s="25" t="s">
        <v>86</v>
      </c>
      <c r="D94" s="25">
        <v>2.298</v>
      </c>
      <c r="E94" s="121">
        <f t="shared" ref="E94" si="29">AVERAGE(D94:D96)</f>
        <v>2.3633333333333333</v>
      </c>
      <c r="F94" s="121">
        <f t="shared" ref="F94" si="30">STDEV(D94:D96)</f>
        <v>5.6800821590302045E-2</v>
      </c>
    </row>
    <row r="95" spans="2:6" x14ac:dyDescent="0.3">
      <c r="B95" s="25">
        <v>25</v>
      </c>
      <c r="C95" s="25" t="s">
        <v>86</v>
      </c>
      <c r="D95" s="25">
        <v>2.4009999999999998</v>
      </c>
      <c r="E95" s="121"/>
      <c r="F95" s="121"/>
    </row>
    <row r="96" spans="2:6" x14ac:dyDescent="0.3">
      <c r="B96" s="25">
        <v>25</v>
      </c>
      <c r="C96" s="25" t="s">
        <v>86</v>
      </c>
      <c r="D96" s="25">
        <v>2.391</v>
      </c>
      <c r="E96" s="121"/>
      <c r="F96" s="121"/>
    </row>
    <row r="97" spans="2:6" x14ac:dyDescent="0.3">
      <c r="B97" s="25">
        <v>30</v>
      </c>
      <c r="C97" s="25" t="s">
        <v>86</v>
      </c>
      <c r="D97" s="25">
        <v>2.306</v>
      </c>
      <c r="E97" s="121">
        <f t="shared" ref="E97" si="31">AVERAGE(D97:D99)</f>
        <v>2.3696666666666668</v>
      </c>
      <c r="F97" s="121">
        <f t="shared" ref="F97" si="32">STDEV(D97:D99)</f>
        <v>5.5320279584735739E-2</v>
      </c>
    </row>
    <row r="98" spans="2:6" x14ac:dyDescent="0.3">
      <c r="B98" s="25">
        <v>30</v>
      </c>
      <c r="C98" s="25" t="s">
        <v>86</v>
      </c>
      <c r="D98" s="25">
        <v>2.4060000000000001</v>
      </c>
      <c r="E98" s="121"/>
      <c r="F98" s="121"/>
    </row>
    <row r="99" spans="2:6" x14ac:dyDescent="0.3">
      <c r="B99" s="25">
        <v>30</v>
      </c>
      <c r="C99" s="25" t="s">
        <v>86</v>
      </c>
      <c r="D99" s="25">
        <v>2.3969999999999998</v>
      </c>
      <c r="E99" s="121"/>
      <c r="F99" s="121"/>
    </row>
    <row r="100" spans="2:6" x14ac:dyDescent="0.3">
      <c r="B100" s="25">
        <v>35</v>
      </c>
      <c r="C100" s="25" t="s">
        <v>86</v>
      </c>
      <c r="D100" s="25">
        <v>2.306</v>
      </c>
      <c r="E100" s="121">
        <f t="shared" ref="E100" si="33">AVERAGE(D100:D102)</f>
        <v>2.3696666666666668</v>
      </c>
      <c r="F100" s="121">
        <f t="shared" ref="F100" si="34">STDEV(D100:D102)</f>
        <v>5.5320279584735739E-2</v>
      </c>
    </row>
    <row r="101" spans="2:6" x14ac:dyDescent="0.3">
      <c r="B101" s="25">
        <v>35</v>
      </c>
      <c r="C101" s="25" t="s">
        <v>86</v>
      </c>
      <c r="D101" s="25">
        <v>2.4060000000000001</v>
      </c>
      <c r="E101" s="121"/>
      <c r="F101" s="121"/>
    </row>
    <row r="102" spans="2:6" x14ac:dyDescent="0.3">
      <c r="B102" s="25">
        <v>35</v>
      </c>
      <c r="C102" s="25" t="s">
        <v>86</v>
      </c>
      <c r="D102" s="25">
        <v>2.3969999999999998</v>
      </c>
      <c r="E102" s="121"/>
      <c r="F102" s="121"/>
    </row>
    <row r="103" spans="2:6" x14ac:dyDescent="0.3">
      <c r="B103" s="25">
        <v>40</v>
      </c>
      <c r="C103" s="25" t="s">
        <v>86</v>
      </c>
      <c r="D103" s="25">
        <v>2.3090000000000002</v>
      </c>
      <c r="E103" s="121">
        <f t="shared" ref="E103" si="35">AVERAGE(D103:D105)</f>
        <v>2.3746666666666667</v>
      </c>
      <c r="F103" s="121">
        <f t="shared" ref="F103" si="36">STDEV(D103:D105)</f>
        <v>5.7361427225386591E-2</v>
      </c>
    </row>
    <row r="104" spans="2:6" x14ac:dyDescent="0.3">
      <c r="B104" s="25">
        <v>40</v>
      </c>
      <c r="C104" s="25" t="s">
        <v>86</v>
      </c>
      <c r="D104" s="25">
        <v>2.415</v>
      </c>
      <c r="E104" s="121"/>
      <c r="F104" s="121"/>
    </row>
    <row r="105" spans="2:6" x14ac:dyDescent="0.3">
      <c r="B105" s="25">
        <v>40</v>
      </c>
      <c r="C105" s="25" t="s">
        <v>86</v>
      </c>
      <c r="D105" s="25">
        <v>2.4</v>
      </c>
      <c r="E105" s="121"/>
      <c r="F105" s="121"/>
    </row>
    <row r="106" spans="2:6" x14ac:dyDescent="0.3">
      <c r="B106" s="25">
        <v>50</v>
      </c>
      <c r="C106" s="25" t="s">
        <v>86</v>
      </c>
      <c r="D106" s="25">
        <v>2.2930000000000001</v>
      </c>
      <c r="E106" s="121">
        <f t="shared" ref="E106" si="37">AVERAGE(D106:D108)</f>
        <v>2.3613333333333331</v>
      </c>
      <c r="F106" s="121">
        <f t="shared" ref="F106" si="38">STDEV(D106:D108)</f>
        <v>5.9651767227244169E-2</v>
      </c>
    </row>
    <row r="107" spans="2:6" x14ac:dyDescent="0.3">
      <c r="B107" s="25">
        <v>50</v>
      </c>
      <c r="C107" s="25" t="s">
        <v>86</v>
      </c>
      <c r="D107" s="25">
        <v>2.403</v>
      </c>
      <c r="E107" s="121"/>
      <c r="F107" s="121"/>
    </row>
    <row r="108" spans="2:6" x14ac:dyDescent="0.3">
      <c r="B108" s="25">
        <v>50</v>
      </c>
      <c r="C108" s="25" t="s">
        <v>86</v>
      </c>
      <c r="D108" s="25">
        <v>2.3879999999999999</v>
      </c>
      <c r="E108" s="121"/>
      <c r="F108" s="121"/>
    </row>
    <row r="109" spans="2:6" x14ac:dyDescent="0.3">
      <c r="B109" s="25">
        <v>60</v>
      </c>
      <c r="C109" s="25" t="s">
        <v>86</v>
      </c>
      <c r="D109" s="25">
        <v>2.2869999999999999</v>
      </c>
      <c r="E109" s="121">
        <f t="shared" ref="E109" si="39">AVERAGE(D109:D111)</f>
        <v>2.3543333333333334</v>
      </c>
      <c r="F109" s="121">
        <f t="shared" ref="F109" si="40">STDEV(D109:D111)</f>
        <v>5.8731025304632076E-2</v>
      </c>
    </row>
    <row r="110" spans="2:6" x14ac:dyDescent="0.3">
      <c r="B110" s="25">
        <v>60</v>
      </c>
      <c r="C110" s="25" t="s">
        <v>86</v>
      </c>
      <c r="D110" s="25">
        <v>2.395</v>
      </c>
      <c r="E110" s="121"/>
      <c r="F110" s="121"/>
    </row>
    <row r="111" spans="2:6" x14ac:dyDescent="0.3">
      <c r="B111" s="25">
        <v>60</v>
      </c>
      <c r="C111" s="25" t="s">
        <v>86</v>
      </c>
      <c r="D111" s="25">
        <v>2.3809999999999998</v>
      </c>
      <c r="E111" s="121"/>
      <c r="F111" s="121"/>
    </row>
    <row r="112" spans="2:6" x14ac:dyDescent="0.3">
      <c r="B112" s="25">
        <v>0</v>
      </c>
      <c r="C112" s="25" t="s">
        <v>87</v>
      </c>
      <c r="D112" s="25">
        <v>0.21739201499999999</v>
      </c>
      <c r="E112" s="121">
        <f t="shared" ref="E112" si="41">AVERAGE(D112:D114)</f>
        <v>0.21899254466666665</v>
      </c>
      <c r="F112" s="121">
        <f t="shared" ref="F112" si="42">STDEV(D112:D114)</f>
        <v>6.1293386631740589E-3</v>
      </c>
    </row>
    <row r="113" spans="2:6" x14ac:dyDescent="0.3">
      <c r="B113" s="25">
        <v>0</v>
      </c>
      <c r="C113" s="25" t="s">
        <v>87</v>
      </c>
      <c r="D113" s="25">
        <v>0.22576336399999999</v>
      </c>
      <c r="E113" s="121"/>
      <c r="F113" s="121"/>
    </row>
    <row r="114" spans="2:6" x14ac:dyDescent="0.3">
      <c r="B114" s="25">
        <v>0</v>
      </c>
      <c r="C114" s="25" t="s">
        <v>87</v>
      </c>
      <c r="D114" s="25">
        <v>0.21382225499999999</v>
      </c>
      <c r="E114" s="121"/>
      <c r="F114" s="121"/>
    </row>
    <row r="115" spans="2:6" x14ac:dyDescent="0.3">
      <c r="B115" s="25">
        <v>2</v>
      </c>
      <c r="C115" s="25" t="s">
        <v>87</v>
      </c>
      <c r="D115" s="25">
        <v>0.22893390599999999</v>
      </c>
      <c r="E115" s="121">
        <f t="shared" ref="E115" si="43">AVERAGE(D115:D117)</f>
        <v>0.22828998733333336</v>
      </c>
      <c r="F115" s="121">
        <f t="shared" ref="F115" si="44">STDEV(D115:D117)</f>
        <v>8.5448838856467414E-3</v>
      </c>
    </row>
    <row r="116" spans="2:6" x14ac:dyDescent="0.3">
      <c r="B116" s="25">
        <v>2</v>
      </c>
      <c r="C116" s="25" t="s">
        <v>87</v>
      </c>
      <c r="D116" s="25">
        <v>0.236494696</v>
      </c>
      <c r="E116" s="121"/>
      <c r="F116" s="121"/>
    </row>
    <row r="117" spans="2:6" x14ac:dyDescent="0.3">
      <c r="B117" s="25">
        <v>2</v>
      </c>
      <c r="C117" s="25" t="s">
        <v>87</v>
      </c>
      <c r="D117" s="25">
        <v>0.21944136</v>
      </c>
      <c r="E117" s="121"/>
      <c r="F117" s="121"/>
    </row>
    <row r="118" spans="2:6" x14ac:dyDescent="0.3">
      <c r="B118" s="25">
        <v>4</v>
      </c>
      <c r="C118" s="25" t="s">
        <v>87</v>
      </c>
      <c r="D118" s="25">
        <v>0.30047920700000003</v>
      </c>
      <c r="E118" s="121">
        <f t="shared" ref="E118" si="45">AVERAGE(D118:D120)</f>
        <v>0.29478454933333337</v>
      </c>
      <c r="F118" s="121">
        <f t="shared" ref="F118" si="46">STDEV(D118:D120)</f>
        <v>6.1847803835024312E-3</v>
      </c>
    </row>
    <row r="119" spans="2:6" x14ac:dyDescent="0.3">
      <c r="B119" s="25">
        <v>4</v>
      </c>
      <c r="C119" s="25" t="s">
        <v>87</v>
      </c>
      <c r="D119" s="25">
        <v>0.288204974</v>
      </c>
      <c r="E119" s="121"/>
      <c r="F119" s="121"/>
    </row>
    <row r="120" spans="2:6" x14ac:dyDescent="0.3">
      <c r="B120" s="25">
        <v>4</v>
      </c>
      <c r="C120" s="25" t="s">
        <v>87</v>
      </c>
      <c r="D120" s="25">
        <v>0.29566946700000002</v>
      </c>
      <c r="E120" s="121"/>
      <c r="F120" s="121"/>
    </row>
    <row r="121" spans="2:6" x14ac:dyDescent="0.3">
      <c r="B121" s="25">
        <v>6</v>
      </c>
      <c r="C121" s="25" t="s">
        <v>87</v>
      </c>
      <c r="D121" s="25">
        <v>0.66230372599999998</v>
      </c>
      <c r="E121" s="121">
        <f t="shared" ref="E121" si="47">AVERAGE(D121:D123)</f>
        <v>0.5051428996666667</v>
      </c>
      <c r="F121" s="121">
        <f t="shared" ref="F121" si="48">STDEV(D121:D123)</f>
        <v>0.13664563401019092</v>
      </c>
    </row>
    <row r="122" spans="2:6" x14ac:dyDescent="0.3">
      <c r="B122" s="25">
        <v>6</v>
      </c>
      <c r="C122" s="25" t="s">
        <v>87</v>
      </c>
      <c r="D122" s="25">
        <v>0.41442225199999999</v>
      </c>
      <c r="E122" s="121"/>
      <c r="F122" s="121"/>
    </row>
    <row r="123" spans="2:6" x14ac:dyDescent="0.3">
      <c r="B123" s="25">
        <v>6</v>
      </c>
      <c r="C123" s="25" t="s">
        <v>87</v>
      </c>
      <c r="D123" s="25">
        <v>0.43870272100000002</v>
      </c>
      <c r="E123" s="121"/>
      <c r="F123" s="121"/>
    </row>
    <row r="124" spans="2:6" x14ac:dyDescent="0.3">
      <c r="B124" s="25">
        <v>8</v>
      </c>
      <c r="C124" s="25" t="s">
        <v>87</v>
      </c>
      <c r="D124" s="25">
        <v>1.6605594749999999</v>
      </c>
      <c r="E124" s="121">
        <f t="shared" ref="E124" si="49">AVERAGE(D124:D126)</f>
        <v>1.4129892350000002</v>
      </c>
      <c r="F124" s="121">
        <f t="shared" ref="F124" si="50">STDEV(D124:D126)</f>
        <v>0.24066334707604592</v>
      </c>
    </row>
    <row r="125" spans="2:6" x14ac:dyDescent="0.3">
      <c r="B125" s="25">
        <v>8</v>
      </c>
      <c r="C125" s="25" t="s">
        <v>87</v>
      </c>
      <c r="D125" s="25">
        <v>1.179885412</v>
      </c>
      <c r="E125" s="121"/>
      <c r="F125" s="121"/>
    </row>
    <row r="126" spans="2:6" x14ac:dyDescent="0.3">
      <c r="B126" s="25">
        <v>8</v>
      </c>
      <c r="C126" s="25" t="s">
        <v>87</v>
      </c>
      <c r="D126" s="25">
        <v>1.398522818</v>
      </c>
      <c r="E126" s="121"/>
      <c r="F126" s="121"/>
    </row>
    <row r="127" spans="2:6" x14ac:dyDescent="0.3">
      <c r="B127" s="25">
        <v>10</v>
      </c>
      <c r="C127" s="25" t="s">
        <v>87</v>
      </c>
      <c r="D127" s="25">
        <v>1.809880935</v>
      </c>
      <c r="E127" s="121">
        <f t="shared" ref="E127" si="51">AVERAGE(D127:D129)</f>
        <v>1.7773305976666667</v>
      </c>
      <c r="F127" s="121">
        <f t="shared" ref="F127" si="52">STDEV(D127:D129)</f>
        <v>2.9852466654049586E-2</v>
      </c>
    </row>
    <row r="128" spans="2:6" x14ac:dyDescent="0.3">
      <c r="B128" s="25">
        <v>10</v>
      </c>
      <c r="C128" s="25" t="s">
        <v>87</v>
      </c>
      <c r="D128" s="25">
        <v>1.770880215</v>
      </c>
      <c r="E128" s="121"/>
      <c r="F128" s="121"/>
    </row>
    <row r="129" spans="2:6" x14ac:dyDescent="0.3">
      <c r="B129" s="25">
        <v>10</v>
      </c>
      <c r="C129" s="25" t="s">
        <v>87</v>
      </c>
      <c r="D129" s="25">
        <v>1.751230643</v>
      </c>
      <c r="E129" s="121"/>
      <c r="F129" s="121"/>
    </row>
    <row r="130" spans="2:6" x14ac:dyDescent="0.3">
      <c r="B130" s="25">
        <v>12</v>
      </c>
      <c r="C130" s="25" t="s">
        <v>87</v>
      </c>
      <c r="D130" s="25">
        <v>1.7581725290000001</v>
      </c>
      <c r="E130" s="121">
        <f t="shared" ref="E130" si="53">AVERAGE(D130:D132)</f>
        <v>1.8438582823333334</v>
      </c>
      <c r="F130" s="121">
        <f t="shared" ref="F130" si="54">STDEV(D130:D132)</f>
        <v>7.8104701153421691E-2</v>
      </c>
    </row>
    <row r="131" spans="2:6" x14ac:dyDescent="0.3">
      <c r="B131" s="25">
        <v>12</v>
      </c>
      <c r="C131" s="25" t="s">
        <v>87</v>
      </c>
      <c r="D131" s="25">
        <v>1.862332981</v>
      </c>
      <c r="E131" s="121"/>
      <c r="F131" s="121"/>
    </row>
    <row r="132" spans="2:6" x14ac:dyDescent="0.3">
      <c r="B132" s="25">
        <v>12</v>
      </c>
      <c r="C132" s="25" t="s">
        <v>87</v>
      </c>
      <c r="D132" s="25">
        <v>1.911069337</v>
      </c>
      <c r="E132" s="121"/>
      <c r="F132" s="121"/>
    </row>
    <row r="133" spans="2:6" x14ac:dyDescent="0.3">
      <c r="B133" s="25">
        <v>14</v>
      </c>
      <c r="C133" s="25" t="s">
        <v>87</v>
      </c>
      <c r="D133" s="25">
        <v>1.757932995</v>
      </c>
      <c r="E133" s="121">
        <f t="shared" ref="E133" si="55">AVERAGE(D133:D135)</f>
        <v>1.852875088</v>
      </c>
      <c r="F133" s="121">
        <f t="shared" ref="F133" si="56">STDEV(D133:D135)</f>
        <v>8.8400112423633964E-2</v>
      </c>
    </row>
    <row r="134" spans="2:6" x14ac:dyDescent="0.3">
      <c r="B134" s="25">
        <v>14</v>
      </c>
      <c r="C134" s="25" t="s">
        <v>87</v>
      </c>
      <c r="D134" s="25">
        <v>1.8678795500000001</v>
      </c>
      <c r="E134" s="121"/>
      <c r="F134" s="121"/>
    </row>
    <row r="135" spans="2:6" x14ac:dyDescent="0.3">
      <c r="B135" s="25">
        <v>14</v>
      </c>
      <c r="C135" s="25" t="s">
        <v>87</v>
      </c>
      <c r="D135" s="25">
        <v>1.932812719</v>
      </c>
      <c r="E135" s="121"/>
      <c r="F135" s="121"/>
    </row>
    <row r="136" spans="2:6" x14ac:dyDescent="0.3">
      <c r="B136" s="25">
        <v>16</v>
      </c>
      <c r="C136" s="25" t="s">
        <v>87</v>
      </c>
      <c r="D136" s="25">
        <v>1.926397621</v>
      </c>
      <c r="E136" s="121">
        <f t="shared" ref="E136" si="57">AVERAGE(D136:D138)</f>
        <v>1.9806841593333335</v>
      </c>
      <c r="F136" s="121">
        <f t="shared" ref="F136" si="58">STDEV(D136:D138)</f>
        <v>5.3707210223683619E-2</v>
      </c>
    </row>
    <row r="137" spans="2:6" x14ac:dyDescent="0.3">
      <c r="B137" s="25">
        <v>16</v>
      </c>
      <c r="C137" s="25" t="s">
        <v>87</v>
      </c>
      <c r="D137" s="25">
        <v>1.9818621970000001</v>
      </c>
      <c r="E137" s="121"/>
      <c r="F137" s="121"/>
    </row>
    <row r="138" spans="2:6" x14ac:dyDescent="0.3">
      <c r="B138" s="25">
        <v>16</v>
      </c>
      <c r="C138" s="25" t="s">
        <v>87</v>
      </c>
      <c r="D138" s="25">
        <v>2.03379266</v>
      </c>
      <c r="E138" s="121"/>
      <c r="F138" s="121"/>
    </row>
    <row r="139" spans="2:6" x14ac:dyDescent="0.3">
      <c r="B139" s="25">
        <v>18</v>
      </c>
      <c r="C139" s="25" t="s">
        <v>87</v>
      </c>
      <c r="D139" s="25">
        <v>1.936207394</v>
      </c>
      <c r="E139" s="121">
        <f t="shared" ref="E139" si="59">AVERAGE(D139:D141)</f>
        <v>1.9876616313333333</v>
      </c>
      <c r="F139" s="121">
        <f t="shared" ref="F139" si="60">STDEV(D139:D141)</f>
        <v>4.6861191588163674E-2</v>
      </c>
    </row>
    <row r="140" spans="2:6" x14ac:dyDescent="0.3">
      <c r="B140" s="25">
        <v>18</v>
      </c>
      <c r="C140" s="25" t="s">
        <v>87</v>
      </c>
      <c r="D140" s="25">
        <v>2.0278910730000002</v>
      </c>
      <c r="E140" s="121"/>
      <c r="F140" s="121"/>
    </row>
    <row r="141" spans="2:6" x14ac:dyDescent="0.3">
      <c r="B141" s="25">
        <v>18</v>
      </c>
      <c r="C141" s="25" t="s">
        <v>87</v>
      </c>
      <c r="D141" s="25">
        <v>1.998886427</v>
      </c>
      <c r="E141" s="121"/>
      <c r="F141" s="121"/>
    </row>
    <row r="142" spans="2:6" x14ac:dyDescent="0.3">
      <c r="B142" s="25">
        <v>20</v>
      </c>
      <c r="C142" s="25" t="s">
        <v>87</v>
      </c>
      <c r="D142" s="25">
        <v>1.931</v>
      </c>
      <c r="E142" s="121">
        <f t="shared" ref="E142" si="61">AVERAGE(D142:D144)</f>
        <v>1.9809999999999999</v>
      </c>
      <c r="F142" s="121">
        <f t="shared" ref="F142" si="62">STDEV(D142:D144)</f>
        <v>5.5054518434003212E-2</v>
      </c>
    </row>
    <row r="143" spans="2:6" x14ac:dyDescent="0.3">
      <c r="B143" s="25">
        <v>20</v>
      </c>
      <c r="C143" s="25" t="s">
        <v>87</v>
      </c>
      <c r="D143" s="25">
        <v>1.972</v>
      </c>
      <c r="E143" s="121"/>
      <c r="F143" s="121"/>
    </row>
    <row r="144" spans="2:6" x14ac:dyDescent="0.3">
      <c r="B144" s="25">
        <v>20</v>
      </c>
      <c r="C144" s="25" t="s">
        <v>87</v>
      </c>
      <c r="D144" s="25">
        <v>2.04</v>
      </c>
      <c r="E144" s="121"/>
      <c r="F144" s="121"/>
    </row>
    <row r="145" spans="2:6" x14ac:dyDescent="0.3">
      <c r="B145" s="25">
        <v>22</v>
      </c>
      <c r="C145" s="25" t="s">
        <v>87</v>
      </c>
      <c r="D145" s="25">
        <v>1.9339999999999999</v>
      </c>
      <c r="E145" s="121">
        <f t="shared" ref="E145" si="63">AVERAGE(D145:D147)</f>
        <v>1.9933333333333334</v>
      </c>
      <c r="F145" s="121">
        <f t="shared" ref="F145" si="64">STDEV(D145:D147)</f>
        <v>6.9637154833704432E-2</v>
      </c>
    </row>
    <row r="146" spans="2:6" x14ac:dyDescent="0.3">
      <c r="B146" s="25">
        <v>22</v>
      </c>
      <c r="C146" s="25" t="s">
        <v>87</v>
      </c>
      <c r="D146" s="25">
        <v>1.976</v>
      </c>
      <c r="E146" s="121"/>
      <c r="F146" s="121"/>
    </row>
    <row r="147" spans="2:6" x14ac:dyDescent="0.3">
      <c r="B147" s="25">
        <v>22</v>
      </c>
      <c r="C147" s="25" t="s">
        <v>87</v>
      </c>
      <c r="D147" s="25">
        <v>2.0699999999999998</v>
      </c>
      <c r="E147" s="121"/>
      <c r="F147" s="121"/>
    </row>
    <row r="148" spans="2:6" x14ac:dyDescent="0.3">
      <c r="B148" s="25">
        <v>25</v>
      </c>
      <c r="C148" s="25" t="s">
        <v>87</v>
      </c>
      <c r="D148" s="25">
        <v>1.948</v>
      </c>
      <c r="E148" s="121">
        <f t="shared" ref="E148" si="65">AVERAGE(D148:D150)</f>
        <v>1.998</v>
      </c>
      <c r="F148" s="121">
        <f t="shared" ref="F148" si="66">STDEV(D148:D150)</f>
        <v>6.3906181234681766E-2</v>
      </c>
    </row>
    <row r="149" spans="2:6" x14ac:dyDescent="0.3">
      <c r="B149" s="25">
        <v>25</v>
      </c>
      <c r="C149" s="25" t="s">
        <v>87</v>
      </c>
      <c r="D149" s="25">
        <v>1.976</v>
      </c>
      <c r="E149" s="121"/>
      <c r="F149" s="121"/>
    </row>
    <row r="150" spans="2:6" x14ac:dyDescent="0.3">
      <c r="B150" s="25">
        <v>25</v>
      </c>
      <c r="C150" s="25" t="s">
        <v>87</v>
      </c>
      <c r="D150" s="25">
        <v>2.0699999999999998</v>
      </c>
      <c r="E150" s="121"/>
      <c r="F150" s="121"/>
    </row>
    <row r="151" spans="2:6" x14ac:dyDescent="0.3">
      <c r="B151" s="25">
        <v>30</v>
      </c>
      <c r="C151" s="25" t="s">
        <v>87</v>
      </c>
      <c r="D151" s="25">
        <v>1.9510000000000001</v>
      </c>
      <c r="E151" s="121">
        <f t="shared" ref="E151" si="67">AVERAGE(D151:D153)</f>
        <v>2.0089999999999999</v>
      </c>
      <c r="F151" s="121">
        <f t="shared" ref="F151" si="68">STDEV(D151:D153)</f>
        <v>7.2297994439679894E-2</v>
      </c>
    </row>
    <row r="152" spans="2:6" x14ac:dyDescent="0.3">
      <c r="B152" s="25">
        <v>30</v>
      </c>
      <c r="C152" s="25" t="s">
        <v>87</v>
      </c>
      <c r="D152" s="25">
        <v>1.986</v>
      </c>
      <c r="E152" s="121"/>
      <c r="F152" s="121"/>
    </row>
    <row r="153" spans="2:6" x14ac:dyDescent="0.3">
      <c r="B153" s="25">
        <v>30</v>
      </c>
      <c r="C153" s="25" t="s">
        <v>87</v>
      </c>
      <c r="D153" s="25">
        <v>2.09</v>
      </c>
      <c r="E153" s="121"/>
      <c r="F153" s="121"/>
    </row>
    <row r="154" spans="2:6" x14ac:dyDescent="0.3">
      <c r="B154" s="25">
        <v>35</v>
      </c>
      <c r="C154" s="25" t="s">
        <v>87</v>
      </c>
      <c r="D154" s="25">
        <v>1.93544</v>
      </c>
      <c r="E154" s="121">
        <f t="shared" ref="E154" si="69">AVERAGE(D154:D156)</f>
        <v>2.0054799999999999</v>
      </c>
      <c r="F154" s="121">
        <f t="shared" ref="F154" si="70">STDEV(D154:D156)</f>
        <v>7.8290811721427322E-2</v>
      </c>
    </row>
    <row r="155" spans="2:6" x14ac:dyDescent="0.3">
      <c r="B155" s="25">
        <v>35</v>
      </c>
      <c r="C155" s="25" t="s">
        <v>87</v>
      </c>
      <c r="D155" s="25">
        <v>1.9910000000000001</v>
      </c>
      <c r="E155" s="121"/>
      <c r="F155" s="121"/>
    </row>
    <row r="156" spans="2:6" x14ac:dyDescent="0.3">
      <c r="B156" s="25">
        <v>35</v>
      </c>
      <c r="C156" s="25" t="s">
        <v>87</v>
      </c>
      <c r="D156" s="25">
        <v>2.09</v>
      </c>
      <c r="E156" s="121"/>
      <c r="F156" s="121"/>
    </row>
    <row r="157" spans="2:6" x14ac:dyDescent="0.3">
      <c r="B157" s="25">
        <v>40</v>
      </c>
      <c r="C157" s="25" t="s">
        <v>87</v>
      </c>
      <c r="D157" s="25">
        <v>1.9379999999999999</v>
      </c>
      <c r="E157" s="121">
        <f t="shared" ref="E157" si="71">AVERAGE(D157:D159)</f>
        <v>2.016</v>
      </c>
      <c r="F157" s="121">
        <f t="shared" ref="F157" si="72">STDEV(D157:D159)</f>
        <v>8.1166495550812179E-2</v>
      </c>
    </row>
    <row r="158" spans="2:6" x14ac:dyDescent="0.3">
      <c r="B158" s="25">
        <v>40</v>
      </c>
      <c r="C158" s="25" t="s">
        <v>87</v>
      </c>
      <c r="D158" s="25">
        <v>2.0099999999999998</v>
      </c>
      <c r="E158" s="121"/>
      <c r="F158" s="121"/>
    </row>
    <row r="159" spans="2:6" x14ac:dyDescent="0.3">
      <c r="B159" s="25">
        <v>40</v>
      </c>
      <c r="C159" s="25" t="s">
        <v>87</v>
      </c>
      <c r="D159" s="25">
        <v>2.1</v>
      </c>
      <c r="E159" s="121"/>
      <c r="F159" s="121"/>
    </row>
    <row r="160" spans="2:6" x14ac:dyDescent="0.3">
      <c r="B160" s="25">
        <v>50</v>
      </c>
      <c r="C160" s="25" t="s">
        <v>87</v>
      </c>
      <c r="D160" s="25">
        <v>1.94</v>
      </c>
      <c r="E160" s="121">
        <f t="shared" ref="E160" si="73">AVERAGE(D160:D162)</f>
        <v>2.02</v>
      </c>
      <c r="F160" s="121">
        <f t="shared" ref="F160" si="74">STDEV(D160:D162)</f>
        <v>8.5440037453175285E-2</v>
      </c>
    </row>
    <row r="161" spans="2:6" x14ac:dyDescent="0.3">
      <c r="B161" s="25">
        <v>50</v>
      </c>
      <c r="C161" s="25" t="s">
        <v>87</v>
      </c>
      <c r="D161" s="25">
        <v>2.0099999999999998</v>
      </c>
      <c r="E161" s="121"/>
      <c r="F161" s="121"/>
    </row>
    <row r="162" spans="2:6" x14ac:dyDescent="0.3">
      <c r="B162" s="25">
        <v>50</v>
      </c>
      <c r="C162" s="25" t="s">
        <v>87</v>
      </c>
      <c r="D162" s="25">
        <v>2.11</v>
      </c>
      <c r="E162" s="121"/>
      <c r="F162" s="121"/>
    </row>
    <row r="163" spans="2:6" x14ac:dyDescent="0.3">
      <c r="B163" s="25">
        <v>60</v>
      </c>
      <c r="C163" s="25" t="s">
        <v>87</v>
      </c>
      <c r="D163" s="25">
        <v>1.95</v>
      </c>
      <c r="E163" s="121">
        <f t="shared" ref="E163" si="75">AVERAGE(D163:D165)</f>
        <v>2.0266666666666668</v>
      </c>
      <c r="F163" s="121">
        <f t="shared" ref="F163" si="76">STDEV(D163:D165)</f>
        <v>0.10016652800877822</v>
      </c>
    </row>
    <row r="164" spans="2:6" x14ac:dyDescent="0.3">
      <c r="B164" s="25">
        <v>60</v>
      </c>
      <c r="C164" s="25" t="s">
        <v>87</v>
      </c>
      <c r="D164" s="25">
        <v>1.99</v>
      </c>
      <c r="E164" s="121"/>
      <c r="F164" s="121"/>
    </row>
    <row r="165" spans="2:6" x14ac:dyDescent="0.3">
      <c r="B165" s="25">
        <v>60</v>
      </c>
      <c r="C165" s="25" t="s">
        <v>87</v>
      </c>
      <c r="D165" s="25">
        <v>2.14</v>
      </c>
      <c r="E165" s="121"/>
      <c r="F165" s="121"/>
    </row>
  </sheetData>
  <mergeCells count="108">
    <mergeCell ref="E4:E6"/>
    <mergeCell ref="E7:E9"/>
    <mergeCell ref="E10:E12"/>
    <mergeCell ref="E13:E15"/>
    <mergeCell ref="E16:E18"/>
    <mergeCell ref="E19:E21"/>
    <mergeCell ref="E40:E42"/>
    <mergeCell ref="E43:E45"/>
    <mergeCell ref="E46:E48"/>
    <mergeCell ref="E49:E51"/>
    <mergeCell ref="E52:E54"/>
    <mergeCell ref="E55:E57"/>
    <mergeCell ref="E22:E24"/>
    <mergeCell ref="E25:E27"/>
    <mergeCell ref="E28:E30"/>
    <mergeCell ref="E31:E33"/>
    <mergeCell ref="E34:E36"/>
    <mergeCell ref="E37:E39"/>
    <mergeCell ref="E85:E87"/>
    <mergeCell ref="E88:E90"/>
    <mergeCell ref="E91:E93"/>
    <mergeCell ref="E58:E60"/>
    <mergeCell ref="E61:E63"/>
    <mergeCell ref="E64:E66"/>
    <mergeCell ref="E67:E69"/>
    <mergeCell ref="E70:E72"/>
    <mergeCell ref="E73:E75"/>
    <mergeCell ref="E157:E159"/>
    <mergeCell ref="E160:E162"/>
    <mergeCell ref="E163:E165"/>
    <mergeCell ref="E130:E132"/>
    <mergeCell ref="E133:E135"/>
    <mergeCell ref="E136:E138"/>
    <mergeCell ref="E139:E141"/>
    <mergeCell ref="E142:E144"/>
    <mergeCell ref="E145:E147"/>
    <mergeCell ref="F4:F6"/>
    <mergeCell ref="F7:F9"/>
    <mergeCell ref="F10:F12"/>
    <mergeCell ref="F13:F15"/>
    <mergeCell ref="F16:F18"/>
    <mergeCell ref="F19:F21"/>
    <mergeCell ref="E148:E150"/>
    <mergeCell ref="E151:E153"/>
    <mergeCell ref="E154:E156"/>
    <mergeCell ref="E112:E114"/>
    <mergeCell ref="E115:E117"/>
    <mergeCell ref="E118:E120"/>
    <mergeCell ref="E121:E123"/>
    <mergeCell ref="E124:E126"/>
    <mergeCell ref="E127:E129"/>
    <mergeCell ref="E94:E96"/>
    <mergeCell ref="E97:E99"/>
    <mergeCell ref="E100:E102"/>
    <mergeCell ref="E103:E105"/>
    <mergeCell ref="E106:E108"/>
    <mergeCell ref="E109:E111"/>
    <mergeCell ref="E76:E78"/>
    <mergeCell ref="E79:E81"/>
    <mergeCell ref="E82:E84"/>
    <mergeCell ref="F40:F42"/>
    <mergeCell ref="F43:F45"/>
    <mergeCell ref="F46:F48"/>
    <mergeCell ref="F49:F51"/>
    <mergeCell ref="F52:F54"/>
    <mergeCell ref="F55:F57"/>
    <mergeCell ref="F22:F24"/>
    <mergeCell ref="F25:F27"/>
    <mergeCell ref="F28:F30"/>
    <mergeCell ref="F31:F33"/>
    <mergeCell ref="F34:F36"/>
    <mergeCell ref="F37:F39"/>
    <mergeCell ref="F76:F78"/>
    <mergeCell ref="F79:F81"/>
    <mergeCell ref="F82:F84"/>
    <mergeCell ref="F85:F87"/>
    <mergeCell ref="F88:F90"/>
    <mergeCell ref="F91:F93"/>
    <mergeCell ref="F58:F60"/>
    <mergeCell ref="F61:F63"/>
    <mergeCell ref="F64:F66"/>
    <mergeCell ref="F67:F69"/>
    <mergeCell ref="F70:F72"/>
    <mergeCell ref="F73:F75"/>
    <mergeCell ref="F112:F114"/>
    <mergeCell ref="F115:F117"/>
    <mergeCell ref="F118:F120"/>
    <mergeCell ref="F121:F123"/>
    <mergeCell ref="F124:F126"/>
    <mergeCell ref="F127:F129"/>
    <mergeCell ref="F94:F96"/>
    <mergeCell ref="F97:F99"/>
    <mergeCell ref="F100:F102"/>
    <mergeCell ref="F103:F105"/>
    <mergeCell ref="F106:F108"/>
    <mergeCell ref="F109:F111"/>
    <mergeCell ref="F148:F150"/>
    <mergeCell ref="F151:F153"/>
    <mergeCell ref="F154:F156"/>
    <mergeCell ref="F157:F159"/>
    <mergeCell ref="F160:F162"/>
    <mergeCell ref="F163:F165"/>
    <mergeCell ref="F130:F132"/>
    <mergeCell ref="F133:F135"/>
    <mergeCell ref="F136:F138"/>
    <mergeCell ref="F139:F141"/>
    <mergeCell ref="F142:F144"/>
    <mergeCell ref="F145:F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3C8D-958C-47BB-9EA0-44D218CF7AF2}">
  <dimension ref="A1:J71"/>
  <sheetViews>
    <sheetView workbookViewId="0">
      <selection activeCell="E20" sqref="E20"/>
    </sheetView>
  </sheetViews>
  <sheetFormatPr defaultRowHeight="14.4" x14ac:dyDescent="0.3"/>
  <cols>
    <col min="1" max="1" width="8.88671875" style="17"/>
    <col min="2" max="2" width="9" style="17" bestFit="1" customWidth="1"/>
    <col min="3" max="3" width="18.5546875" style="17" bestFit="1" customWidth="1"/>
    <col min="4" max="4" width="16.88671875" style="17" bestFit="1" customWidth="1"/>
    <col min="5" max="5" width="18.5546875" style="17" bestFit="1" customWidth="1"/>
    <col min="6" max="6" width="8.88671875" style="17"/>
    <col min="7" max="7" width="6.33203125" style="17" bestFit="1" customWidth="1"/>
    <col min="8" max="8" width="18.5546875" style="17" bestFit="1" customWidth="1"/>
    <col min="9" max="9" width="16.88671875" style="17" bestFit="1" customWidth="1"/>
    <col min="10" max="10" width="18.5546875" style="17" bestFit="1" customWidth="1"/>
    <col min="11" max="16384" width="8.88671875" style="17"/>
  </cols>
  <sheetData>
    <row r="1" spans="1:10" x14ac:dyDescent="0.3">
      <c r="A1" s="122" t="s">
        <v>75</v>
      </c>
      <c r="B1" s="122"/>
      <c r="C1" s="122"/>
      <c r="D1" s="122"/>
      <c r="E1" s="122"/>
      <c r="F1" s="111"/>
      <c r="G1" s="122" t="s">
        <v>75</v>
      </c>
      <c r="H1" s="122"/>
      <c r="I1" s="122"/>
      <c r="J1" s="122"/>
    </row>
    <row r="2" spans="1:10" x14ac:dyDescent="0.3">
      <c r="A2" s="27" t="s">
        <v>72</v>
      </c>
      <c r="B2" s="27" t="s">
        <v>68</v>
      </c>
      <c r="C2" s="27" t="s">
        <v>69</v>
      </c>
      <c r="D2" s="27" t="s">
        <v>70</v>
      </c>
      <c r="E2" s="27" t="s">
        <v>71</v>
      </c>
      <c r="F2" s="111"/>
      <c r="G2" s="27" t="s">
        <v>76</v>
      </c>
      <c r="H2" s="27" t="s">
        <v>77</v>
      </c>
      <c r="I2" s="27" t="s">
        <v>78</v>
      </c>
      <c r="J2" s="27" t="s">
        <v>79</v>
      </c>
    </row>
    <row r="3" spans="1:10" x14ac:dyDescent="0.3">
      <c r="A3" s="110"/>
      <c r="B3" s="49">
        <v>1.14876</v>
      </c>
      <c r="C3" s="49">
        <v>1.4995350000000001</v>
      </c>
      <c r="D3" s="49">
        <v>1.467455</v>
      </c>
      <c r="E3" s="49">
        <v>1.8680950000000001</v>
      </c>
      <c r="F3" s="111"/>
      <c r="G3" s="49">
        <v>2.01031</v>
      </c>
      <c r="H3" s="49">
        <v>1.769485</v>
      </c>
      <c r="I3" s="49">
        <v>0.88392999999999999</v>
      </c>
      <c r="J3" s="49">
        <v>1.5070650000000001</v>
      </c>
    </row>
    <row r="4" spans="1:10" x14ac:dyDescent="0.3">
      <c r="A4" s="111"/>
      <c r="B4" s="49">
        <v>1.7555350000000001</v>
      </c>
      <c r="C4" s="49">
        <v>1.5310950000000001</v>
      </c>
      <c r="D4" s="49">
        <v>1.6056699999999999</v>
      </c>
      <c r="E4" s="49">
        <v>2.1717249999999999</v>
      </c>
      <c r="F4" s="111"/>
      <c r="G4" s="49">
        <v>2.1292249999999999</v>
      </c>
      <c r="H4" s="49">
        <v>1.326355</v>
      </c>
      <c r="I4" s="49">
        <v>1.352795</v>
      </c>
      <c r="J4" s="49">
        <v>1.68743</v>
      </c>
    </row>
    <row r="5" spans="1:10" x14ac:dyDescent="0.3">
      <c r="A5" s="111"/>
      <c r="B5" s="49">
        <v>1.3431200000000001</v>
      </c>
      <c r="C5" s="49">
        <v>1.5629900000000001</v>
      </c>
      <c r="D5" s="49">
        <v>2.2330800000000002</v>
      </c>
      <c r="E5" s="49">
        <v>1.76766</v>
      </c>
      <c r="F5" s="111"/>
      <c r="G5" s="49">
        <v>1.7681150000000001</v>
      </c>
      <c r="H5" s="49">
        <v>1.7274849999999999</v>
      </c>
      <c r="I5" s="49">
        <v>1.339405</v>
      </c>
      <c r="J5" s="49">
        <v>1.5266150000000001</v>
      </c>
    </row>
    <row r="6" spans="1:10" x14ac:dyDescent="0.3">
      <c r="A6" s="111"/>
      <c r="B6" s="49">
        <v>1.595205</v>
      </c>
      <c r="C6" s="49">
        <v>1.7546649999999999</v>
      </c>
      <c r="D6" s="49">
        <v>1.9989349999999999</v>
      </c>
      <c r="E6" s="49">
        <v>1.829685</v>
      </c>
      <c r="F6" s="111"/>
      <c r="G6" s="49">
        <v>1.8886099999999999</v>
      </c>
      <c r="H6" s="49">
        <v>2.0091049999999999</v>
      </c>
      <c r="I6" s="49">
        <v>0.977935</v>
      </c>
      <c r="J6" s="49">
        <v>1.34718</v>
      </c>
    </row>
    <row r="7" spans="1:10" x14ac:dyDescent="0.3">
      <c r="A7" s="111"/>
      <c r="B7" s="49">
        <v>1.91493</v>
      </c>
      <c r="C7" s="49">
        <v>1.5310950000000001</v>
      </c>
      <c r="D7" s="49">
        <v>1.6167199999999999</v>
      </c>
      <c r="E7" s="49">
        <v>1.7677750000000001</v>
      </c>
      <c r="F7" s="111"/>
      <c r="G7" s="49">
        <v>2.73184</v>
      </c>
      <c r="H7" s="49">
        <v>1.9287749999999999</v>
      </c>
      <c r="I7" s="49">
        <v>1.3260149999999999</v>
      </c>
      <c r="J7" s="49">
        <v>1.4664900000000001</v>
      </c>
    </row>
    <row r="8" spans="1:10" x14ac:dyDescent="0.3">
      <c r="A8" s="111"/>
      <c r="B8" s="49">
        <v>0.79998999999999998</v>
      </c>
      <c r="C8" s="49">
        <v>1.65899</v>
      </c>
      <c r="D8" s="49">
        <v>1.71347</v>
      </c>
      <c r="E8" s="49">
        <v>1.78786</v>
      </c>
      <c r="F8" s="111"/>
      <c r="G8" s="49">
        <v>2.090595</v>
      </c>
      <c r="H8" s="49">
        <v>1.9689399999999999</v>
      </c>
      <c r="I8" s="49">
        <v>1.3535900000000001</v>
      </c>
      <c r="J8" s="49">
        <v>1.48644</v>
      </c>
    </row>
    <row r="9" spans="1:10" x14ac:dyDescent="0.3">
      <c r="A9" s="111"/>
      <c r="B9" s="49">
        <v>1.65899</v>
      </c>
      <c r="C9" s="49">
        <v>1.787415</v>
      </c>
      <c r="D9" s="49">
        <v>1.989325</v>
      </c>
      <c r="E9" s="49">
        <v>1.869065</v>
      </c>
      <c r="F9" s="111"/>
      <c r="G9" s="49">
        <v>1.849755</v>
      </c>
      <c r="H9" s="49">
        <v>1.849755</v>
      </c>
      <c r="I9" s="49">
        <v>1.4200550000000001</v>
      </c>
      <c r="J9" s="49">
        <v>1.7677750000000001</v>
      </c>
    </row>
    <row r="10" spans="1:10" x14ac:dyDescent="0.3">
      <c r="A10" s="111"/>
      <c r="B10" s="49">
        <v>1.8500700000000001</v>
      </c>
      <c r="C10" s="49">
        <v>2.2330700000000001</v>
      </c>
      <c r="D10" s="49">
        <v>1.5525100000000001</v>
      </c>
      <c r="E10" s="49">
        <v>1.8078350000000001</v>
      </c>
      <c r="F10" s="111"/>
      <c r="G10" s="49">
        <v>2.0189699999999999</v>
      </c>
      <c r="H10" s="49">
        <v>2.0492699999999999</v>
      </c>
      <c r="I10" s="49">
        <v>1.4635849999999999</v>
      </c>
      <c r="J10" s="49">
        <v>1.546835</v>
      </c>
    </row>
    <row r="11" spans="1:10" x14ac:dyDescent="0.3">
      <c r="A11" s="111"/>
      <c r="B11" s="49">
        <v>1.658685</v>
      </c>
      <c r="C11" s="49">
        <v>1.5005500000000001</v>
      </c>
      <c r="D11" s="49">
        <v>1.5749200000000001</v>
      </c>
      <c r="E11" s="49">
        <v>1.587005</v>
      </c>
      <c r="F11" s="111"/>
      <c r="G11" s="49">
        <v>2.1702349999999999</v>
      </c>
      <c r="H11" s="49">
        <v>1.9722150000000001</v>
      </c>
      <c r="I11" s="49">
        <v>1.352595</v>
      </c>
      <c r="J11" s="49">
        <v>1.6472599999999999</v>
      </c>
    </row>
    <row r="12" spans="1:10" x14ac:dyDescent="0.3">
      <c r="A12" s="111"/>
      <c r="B12" s="49">
        <v>2.3287550000000001</v>
      </c>
      <c r="C12" s="49">
        <v>1.69272</v>
      </c>
      <c r="D12" s="49">
        <v>1.8607400000000001</v>
      </c>
      <c r="E12" s="49">
        <v>1.78786</v>
      </c>
      <c r="F12" s="111"/>
      <c r="G12" s="49">
        <v>1.8382099999999999</v>
      </c>
      <c r="H12" s="49">
        <v>2.008705</v>
      </c>
      <c r="I12" s="49">
        <v>1.09842</v>
      </c>
      <c r="J12" s="49">
        <v>1.34643</v>
      </c>
    </row>
    <row r="13" spans="1:10" x14ac:dyDescent="0.3">
      <c r="A13" s="111"/>
      <c r="B13" s="49">
        <v>1.9786900000000001</v>
      </c>
      <c r="C13" s="49">
        <v>1.4993449999999999</v>
      </c>
      <c r="D13" s="49">
        <v>1.701255</v>
      </c>
      <c r="E13" s="49">
        <v>2.0891500000000001</v>
      </c>
      <c r="F13" s="111"/>
      <c r="G13" s="49">
        <v>1.848115</v>
      </c>
      <c r="H13" s="49">
        <v>1.7681150000000001</v>
      </c>
      <c r="I13" s="49">
        <v>1.191905</v>
      </c>
      <c r="J13" s="49">
        <v>1.6673450000000001</v>
      </c>
    </row>
    <row r="14" spans="1:10" x14ac:dyDescent="0.3">
      <c r="A14" s="111"/>
      <c r="B14" s="49">
        <v>0.89370499999999997</v>
      </c>
      <c r="C14" s="49">
        <v>1.87182</v>
      </c>
      <c r="D14" s="49">
        <v>1.1802699999999999</v>
      </c>
      <c r="E14" s="49">
        <v>1.70787</v>
      </c>
      <c r="F14" s="111"/>
      <c r="G14" s="49">
        <v>1.8682049999999999</v>
      </c>
      <c r="H14" s="49">
        <v>1.8082800000000001</v>
      </c>
      <c r="I14" s="49">
        <v>0.85746500000000003</v>
      </c>
      <c r="J14" s="49">
        <v>1.7084600000000001</v>
      </c>
    </row>
    <row r="15" spans="1:10" x14ac:dyDescent="0.3">
      <c r="A15" s="111"/>
      <c r="B15" s="49">
        <v>1.3719749999999999</v>
      </c>
      <c r="C15" s="49">
        <v>1.5848249999999999</v>
      </c>
      <c r="D15" s="49">
        <v>0.69111999999999996</v>
      </c>
      <c r="E15" s="49">
        <v>1.869065</v>
      </c>
      <c r="F15" s="111"/>
      <c r="G15" s="49">
        <v>1.5400199999999999</v>
      </c>
      <c r="H15" s="49">
        <v>1.928355</v>
      </c>
      <c r="I15" s="49">
        <v>1.2989599999999999</v>
      </c>
      <c r="J15" s="49">
        <v>1.74861</v>
      </c>
    </row>
    <row r="16" spans="1:10" x14ac:dyDescent="0.3">
      <c r="A16" s="111"/>
      <c r="B16" s="49">
        <v>1.5629900000000001</v>
      </c>
      <c r="C16" s="49">
        <v>1.648085</v>
      </c>
      <c r="D16" s="49">
        <v>1.6480900000000001</v>
      </c>
      <c r="E16" s="49">
        <v>1.9082699999999999</v>
      </c>
      <c r="F16" s="111"/>
      <c r="G16" s="49">
        <v>1.627175</v>
      </c>
      <c r="H16" s="49">
        <v>1.942485</v>
      </c>
      <c r="I16" s="49">
        <v>1.3927</v>
      </c>
      <c r="J16" s="49">
        <v>1.5669200000000001</v>
      </c>
    </row>
    <row r="17" spans="1:10" x14ac:dyDescent="0.3">
      <c r="A17" s="111"/>
      <c r="B17" s="49">
        <v>2.3405200000000002</v>
      </c>
      <c r="C17" s="49">
        <v>1.7438750000000001</v>
      </c>
      <c r="D17" s="49">
        <v>1.6693249999999999</v>
      </c>
      <c r="E17" s="49">
        <v>2.04888</v>
      </c>
      <c r="F17" s="111"/>
      <c r="G17" s="49">
        <v>1.8079449999999999</v>
      </c>
      <c r="H17" s="49">
        <v>1.9421649999999999</v>
      </c>
      <c r="I17" s="49">
        <v>1.3937299999999999</v>
      </c>
      <c r="J17" s="49">
        <v>2.0690650000000002</v>
      </c>
    </row>
    <row r="18" spans="1:10" x14ac:dyDescent="0.3">
      <c r="A18" s="111"/>
      <c r="B18" s="49">
        <v>1.3730850000000001</v>
      </c>
      <c r="C18" s="49">
        <v>1.7331449999999999</v>
      </c>
      <c r="D18" s="49">
        <v>1.3935249999999999</v>
      </c>
      <c r="E18" s="49">
        <v>1.7075149999999999</v>
      </c>
      <c r="F18" s="111"/>
      <c r="G18" s="49">
        <v>1.9083749999999999</v>
      </c>
      <c r="H18" s="49">
        <v>1.9821</v>
      </c>
      <c r="I18" s="49">
        <v>1.3260149999999999</v>
      </c>
      <c r="J18" s="49">
        <v>1.7887599999999999</v>
      </c>
    </row>
    <row r="19" spans="1:10" x14ac:dyDescent="0.3">
      <c r="A19" s="111"/>
      <c r="B19" s="49">
        <v>0.55381499999999995</v>
      </c>
      <c r="C19" s="49">
        <v>1.8822399999999999</v>
      </c>
      <c r="D19" s="49">
        <v>1.9670350000000001</v>
      </c>
      <c r="E19" s="49">
        <v>1.948545</v>
      </c>
      <c r="F19" s="111"/>
      <c r="G19" s="49">
        <v>2.430615</v>
      </c>
      <c r="H19" s="49">
        <v>2.1024850000000002</v>
      </c>
      <c r="I19" s="49">
        <v>1.34598</v>
      </c>
      <c r="J19" s="49">
        <v>1.70787</v>
      </c>
    </row>
    <row r="20" spans="1:10" x14ac:dyDescent="0.3">
      <c r="A20" s="111"/>
      <c r="B20" s="49">
        <v>0.73365000000000002</v>
      </c>
      <c r="C20" s="49">
        <v>1.5749150000000001</v>
      </c>
      <c r="D20" s="49">
        <v>1.499285</v>
      </c>
      <c r="E20" s="49">
        <v>1.97017</v>
      </c>
      <c r="F20" s="111"/>
      <c r="G20" s="49">
        <v>1.948855</v>
      </c>
      <c r="H20" s="49">
        <v>1.5937950000000001</v>
      </c>
      <c r="I20" s="49">
        <v>1.1858150000000001</v>
      </c>
      <c r="J20" s="49">
        <v>1.1652199999999999</v>
      </c>
    </row>
    <row r="21" spans="1:10" x14ac:dyDescent="0.3">
      <c r="A21" s="111"/>
      <c r="B21" s="49">
        <v>0.76554500000000003</v>
      </c>
      <c r="C21" s="49">
        <v>1.584255</v>
      </c>
      <c r="D21" s="49">
        <v>1.8819900000000001</v>
      </c>
      <c r="E21" s="49">
        <v>1.8078350000000001</v>
      </c>
      <c r="F21" s="111"/>
      <c r="G21" s="49">
        <v>1.7686850000000001</v>
      </c>
      <c r="H21" s="49">
        <v>1.96871</v>
      </c>
      <c r="I21" s="49">
        <v>0.96418000000000004</v>
      </c>
      <c r="J21" s="49">
        <v>1.7074</v>
      </c>
    </row>
    <row r="22" spans="1:10" x14ac:dyDescent="0.3">
      <c r="A22" s="111"/>
      <c r="B22" s="49">
        <v>1.2125349999999999</v>
      </c>
      <c r="C22" s="49">
        <v>1.80782</v>
      </c>
      <c r="D22" s="49">
        <v>1.4513750000000001</v>
      </c>
      <c r="E22" s="49">
        <v>2.3301349999999998</v>
      </c>
      <c r="F22" s="111"/>
      <c r="G22" s="49">
        <v>1.9493750000000001</v>
      </c>
      <c r="H22" s="49">
        <v>1.9019999999999999</v>
      </c>
      <c r="I22" s="49">
        <v>1.486985</v>
      </c>
      <c r="J22" s="49">
        <v>1.6281650000000001</v>
      </c>
    </row>
    <row r="23" spans="1:10" x14ac:dyDescent="0.3">
      <c r="A23" s="111"/>
      <c r="B23" s="49">
        <v>1.4357549999999999</v>
      </c>
      <c r="C23" s="49">
        <v>1.3503400000000001</v>
      </c>
      <c r="D23" s="49">
        <v>1.627105</v>
      </c>
      <c r="E23" s="49">
        <v>2.5513699999999999</v>
      </c>
      <c r="F23" s="111"/>
      <c r="G23" s="49">
        <v>1.90869</v>
      </c>
      <c r="H23" s="49">
        <v>1.9429000000000001</v>
      </c>
      <c r="I23" s="49">
        <v>1.1858150000000001</v>
      </c>
      <c r="J23" s="49">
        <v>1.5472250000000001</v>
      </c>
    </row>
    <row r="24" spans="1:10" x14ac:dyDescent="0.3">
      <c r="A24" s="111"/>
      <c r="B24" s="49">
        <v>1.3397049999999999</v>
      </c>
      <c r="C24" s="49">
        <v>1.3184849999999999</v>
      </c>
      <c r="D24" s="49">
        <v>1.9140250000000001</v>
      </c>
      <c r="E24" s="49">
        <v>2.390695</v>
      </c>
      <c r="F24" s="111"/>
      <c r="G24" s="49">
        <v>1.8682049999999999</v>
      </c>
      <c r="H24" s="49">
        <v>1.96967</v>
      </c>
      <c r="I24" s="49">
        <v>1.4267449999999999</v>
      </c>
      <c r="J24" s="49">
        <v>1.90869</v>
      </c>
    </row>
    <row r="25" spans="1:10" x14ac:dyDescent="0.3">
      <c r="A25" s="111"/>
      <c r="B25" s="49">
        <v>1.5340800000000001</v>
      </c>
      <c r="C25" s="49">
        <v>1.552505</v>
      </c>
      <c r="D25" s="49">
        <v>1.3877649999999999</v>
      </c>
      <c r="E25" s="49">
        <v>2.0287899999999999</v>
      </c>
      <c r="F25" s="111"/>
      <c r="G25" s="49">
        <v>1.9287749999999999</v>
      </c>
      <c r="H25" s="49">
        <v>1.634625</v>
      </c>
      <c r="I25" s="49">
        <v>1.4464049999999999</v>
      </c>
      <c r="J25" s="49">
        <v>1.38615</v>
      </c>
    </row>
    <row r="26" spans="1:10" x14ac:dyDescent="0.3">
      <c r="A26" s="111"/>
      <c r="B26" s="49">
        <v>1.340085</v>
      </c>
      <c r="C26" s="49">
        <v>1.1589499999999999</v>
      </c>
      <c r="D26" s="49">
        <v>1.7658149999999999</v>
      </c>
      <c r="E26" s="49">
        <v>1.82792</v>
      </c>
      <c r="F26" s="111"/>
      <c r="G26" s="49">
        <v>1.50007</v>
      </c>
      <c r="H26" s="49">
        <v>1.8682049999999999</v>
      </c>
      <c r="I26" s="49">
        <v>1.325745</v>
      </c>
      <c r="J26" s="49">
        <v>1.42632</v>
      </c>
    </row>
    <row r="27" spans="1:10" x14ac:dyDescent="0.3">
      <c r="A27" s="111"/>
      <c r="B27" s="49">
        <v>0.92558499999999999</v>
      </c>
      <c r="C27" s="49">
        <v>1.690615</v>
      </c>
      <c r="D27" s="49">
        <v>1.4909950000000001</v>
      </c>
      <c r="E27" s="49">
        <v>2.1494049999999998</v>
      </c>
      <c r="F27" s="111"/>
      <c r="G27" s="49">
        <v>1.7547299999999999</v>
      </c>
      <c r="H27" s="49">
        <v>1.8078350000000001</v>
      </c>
      <c r="I27" s="49">
        <v>1.2661199999999999</v>
      </c>
      <c r="J27" s="49">
        <v>1.22597</v>
      </c>
    </row>
    <row r="28" spans="1:10" x14ac:dyDescent="0.3">
      <c r="A28" s="111"/>
      <c r="B28" s="49">
        <v>1.371605</v>
      </c>
      <c r="C28" s="49">
        <v>1.924615</v>
      </c>
      <c r="D28" s="49">
        <v>2.0202249999999999</v>
      </c>
      <c r="E28" s="49">
        <v>2.0096099999999999</v>
      </c>
      <c r="F28" s="111"/>
      <c r="G28" s="49">
        <v>1.9685299999999999</v>
      </c>
      <c r="H28" s="49">
        <v>1.9689399999999999</v>
      </c>
      <c r="I28" s="49">
        <v>1.36592</v>
      </c>
      <c r="J28" s="49">
        <v>1.34598</v>
      </c>
    </row>
    <row r="29" spans="1:10" x14ac:dyDescent="0.3">
      <c r="A29" s="111"/>
      <c r="B29" s="49">
        <v>2.011835</v>
      </c>
      <c r="C29" s="49">
        <v>1.6489100000000001</v>
      </c>
      <c r="D29" s="49">
        <v>2.06284</v>
      </c>
      <c r="E29" s="49">
        <v>1.9092199999999999</v>
      </c>
      <c r="F29" s="111"/>
      <c r="G29" s="49">
        <v>1.7409300000000001</v>
      </c>
      <c r="H29" s="49">
        <v>1.9284600000000001</v>
      </c>
      <c r="I29" s="49">
        <v>1.2855700000000001</v>
      </c>
      <c r="J29" s="49">
        <v>1.4066650000000001</v>
      </c>
    </row>
    <row r="30" spans="1:10" x14ac:dyDescent="0.3">
      <c r="A30" s="111"/>
      <c r="B30" s="49">
        <v>1.2456499999999999</v>
      </c>
      <c r="C30" s="49">
        <v>1.265325</v>
      </c>
      <c r="D30" s="49">
        <v>2.1903199999999998</v>
      </c>
      <c r="E30" s="49">
        <v>1.556745</v>
      </c>
      <c r="F30" s="111"/>
      <c r="G30" s="49">
        <v>2.00942</v>
      </c>
      <c r="H30" s="49">
        <v>1.5299149999999999</v>
      </c>
      <c r="I30" s="49">
        <v>1.1652199999999999</v>
      </c>
      <c r="J30" s="49">
        <v>1.613105</v>
      </c>
    </row>
    <row r="31" spans="1:10" x14ac:dyDescent="0.3">
      <c r="A31" s="111"/>
      <c r="B31" s="49">
        <v>2.2330700000000001</v>
      </c>
      <c r="C31" s="49">
        <v>1.76552</v>
      </c>
      <c r="D31" s="49">
        <v>1.7440450000000001</v>
      </c>
      <c r="E31" s="49">
        <v>2.0890499999999999</v>
      </c>
      <c r="F31" s="111"/>
      <c r="G31" s="49">
        <v>1.8886099999999999</v>
      </c>
      <c r="H31" s="49">
        <v>1.6101000000000001</v>
      </c>
      <c r="I31" s="49">
        <v>1.091375</v>
      </c>
      <c r="J31" s="49">
        <v>1.68743</v>
      </c>
    </row>
    <row r="32" spans="1:10" x14ac:dyDescent="0.3">
      <c r="A32" s="111"/>
      <c r="B32" s="49">
        <v>1.897985</v>
      </c>
      <c r="C32" s="49">
        <v>1.56429</v>
      </c>
      <c r="D32" s="49">
        <v>1.9989600000000001</v>
      </c>
      <c r="E32" s="49">
        <v>1.6605300000000001</v>
      </c>
      <c r="F32" s="111"/>
      <c r="G32" s="49">
        <v>1.7543200000000001</v>
      </c>
      <c r="H32" s="49">
        <v>1.90869</v>
      </c>
      <c r="I32" s="49">
        <v>1.0653699999999999</v>
      </c>
      <c r="J32" s="49">
        <v>1.5266150000000001</v>
      </c>
    </row>
    <row r="33" spans="1:10" x14ac:dyDescent="0.3">
      <c r="A33" s="111"/>
      <c r="B33" s="49">
        <v>1.3560300000000001</v>
      </c>
      <c r="C33" s="49">
        <v>1.4470099999999999</v>
      </c>
      <c r="D33" s="49">
        <v>1.626825</v>
      </c>
      <c r="E33" s="49">
        <v>1.9689399999999999</v>
      </c>
      <c r="F33" s="111"/>
      <c r="G33" s="49">
        <v>1.9016200000000001</v>
      </c>
      <c r="H33" s="49">
        <v>1.82836</v>
      </c>
      <c r="I33" s="49">
        <v>0.94408999999999998</v>
      </c>
      <c r="J33" s="49">
        <v>1.6877899999999999</v>
      </c>
    </row>
    <row r="34" spans="1:10" x14ac:dyDescent="0.3">
      <c r="A34" s="111"/>
      <c r="B34" s="49">
        <v>1.531425</v>
      </c>
      <c r="C34" s="49">
        <v>1.45682</v>
      </c>
      <c r="D34" s="49">
        <v>1.7971950000000001</v>
      </c>
      <c r="E34" s="49">
        <v>1.82142</v>
      </c>
      <c r="F34" s="111"/>
      <c r="G34" s="49">
        <v>2.0492699999999999</v>
      </c>
      <c r="H34" s="49">
        <v>2.0296850000000002</v>
      </c>
      <c r="I34" s="49">
        <v>0.94408999999999998</v>
      </c>
      <c r="J34" s="49">
        <v>1.3860049999999999</v>
      </c>
    </row>
    <row r="35" spans="1:10" x14ac:dyDescent="0.3">
      <c r="A35" s="111"/>
      <c r="B35" s="49">
        <v>1.436815</v>
      </c>
      <c r="C35" s="49">
        <v>1.6055550000000001</v>
      </c>
      <c r="D35" s="49">
        <v>1.8288450000000001</v>
      </c>
      <c r="E35" s="49">
        <v>2.3569200000000001</v>
      </c>
      <c r="F35" s="111"/>
      <c r="G35" s="49">
        <v>1.5935699999999999</v>
      </c>
      <c r="H35" s="49">
        <v>1.7075149999999999</v>
      </c>
      <c r="I35" s="49">
        <v>0.96501499999999996</v>
      </c>
      <c r="J35" s="49">
        <v>1.6074649999999999</v>
      </c>
    </row>
    <row r="36" spans="1:10" x14ac:dyDescent="0.3">
      <c r="A36" s="111"/>
      <c r="B36" s="49">
        <v>1.9192899999999999</v>
      </c>
      <c r="C36" s="49">
        <v>1.6402099999999999</v>
      </c>
      <c r="D36" s="49">
        <v>1.2229350000000001</v>
      </c>
      <c r="E36" s="49">
        <v>1.513225</v>
      </c>
      <c r="F36" s="111"/>
      <c r="G36" s="49">
        <v>2.12927</v>
      </c>
      <c r="H36" s="49">
        <v>1.80962</v>
      </c>
      <c r="I36" s="49">
        <v>1.2479849999999999</v>
      </c>
      <c r="J36" s="49">
        <v>1.8480099999999999</v>
      </c>
    </row>
    <row r="37" spans="1:10" x14ac:dyDescent="0.3">
      <c r="A37" s="111"/>
      <c r="B37" s="49">
        <v>1.69058</v>
      </c>
      <c r="C37" s="49">
        <v>1.8500700000000001</v>
      </c>
      <c r="D37" s="49">
        <v>1.308505</v>
      </c>
      <c r="E37" s="49">
        <v>1.9685299999999999</v>
      </c>
      <c r="F37" s="111"/>
      <c r="G37" s="49">
        <v>2.1694</v>
      </c>
      <c r="H37" s="49">
        <v>2.0689649999999999</v>
      </c>
      <c r="I37" s="49">
        <v>1.2067300000000001</v>
      </c>
      <c r="J37" s="49">
        <v>1.6873100000000001</v>
      </c>
    </row>
    <row r="38" spans="1:10" x14ac:dyDescent="0.3">
      <c r="A38" s="111"/>
      <c r="B38" s="49">
        <v>1.340085</v>
      </c>
      <c r="C38" s="49">
        <v>1.7331449999999999</v>
      </c>
      <c r="D38" s="49">
        <v>1.3403849999999999</v>
      </c>
      <c r="E38" s="49">
        <v>1.8882300000000001</v>
      </c>
      <c r="F38" s="111"/>
      <c r="G38" s="49">
        <v>1.98872</v>
      </c>
      <c r="H38" s="49">
        <v>1.769485</v>
      </c>
      <c r="I38" s="49">
        <v>1.28573</v>
      </c>
      <c r="J38" s="49">
        <v>1.9300299999999999</v>
      </c>
    </row>
    <row r="39" spans="1:10" x14ac:dyDescent="0.3">
      <c r="A39" s="111"/>
      <c r="B39" s="49">
        <v>0.92503500000000005</v>
      </c>
      <c r="C39" s="49">
        <v>1.4995350000000001</v>
      </c>
      <c r="D39" s="49">
        <v>1.5845849999999999</v>
      </c>
      <c r="E39" s="49">
        <v>1.8748400000000001</v>
      </c>
      <c r="F39" s="111"/>
      <c r="G39" s="49">
        <v>1.9689399999999999</v>
      </c>
      <c r="H39" s="49">
        <v>2.1292249999999999</v>
      </c>
      <c r="I39" s="49">
        <v>1.28573</v>
      </c>
      <c r="J39" s="49">
        <v>1.3665099999999999</v>
      </c>
    </row>
    <row r="40" spans="1:10" x14ac:dyDescent="0.3">
      <c r="A40" s="111"/>
      <c r="B40" s="49">
        <v>1.4049499999999999</v>
      </c>
      <c r="C40" s="49">
        <v>1.69058</v>
      </c>
      <c r="D40" s="49">
        <v>1.8820950000000001</v>
      </c>
      <c r="E40" s="49">
        <v>1.45966</v>
      </c>
      <c r="F40" s="111"/>
      <c r="G40" s="49">
        <v>1.9092199999999999</v>
      </c>
      <c r="H40" s="49">
        <v>1.8886099999999999</v>
      </c>
      <c r="I40" s="49">
        <v>0.80574000000000001</v>
      </c>
      <c r="J40" s="49">
        <v>1.60897</v>
      </c>
    </row>
    <row r="41" spans="1:10" x14ac:dyDescent="0.3">
      <c r="A41" s="111"/>
      <c r="B41" s="49">
        <v>1.468685</v>
      </c>
      <c r="C41" s="49">
        <v>1.329115</v>
      </c>
      <c r="D41" s="49">
        <v>1.722615</v>
      </c>
      <c r="E41" s="49">
        <v>2.0492699999999999</v>
      </c>
      <c r="F41" s="111"/>
      <c r="G41" s="49">
        <v>1.928355</v>
      </c>
      <c r="H41" s="49">
        <v>1.82803</v>
      </c>
      <c r="I41" s="49">
        <v>0.84460999999999997</v>
      </c>
      <c r="J41" s="49">
        <v>1.1255900000000001</v>
      </c>
    </row>
    <row r="42" spans="1:10" x14ac:dyDescent="0.3">
      <c r="A42" s="111"/>
      <c r="B42" s="49">
        <v>0.96170500000000003</v>
      </c>
      <c r="C42" s="49">
        <v>1.478885</v>
      </c>
      <c r="D42" s="49">
        <v>1.627105</v>
      </c>
      <c r="E42" s="49">
        <v>1.6204099999999999</v>
      </c>
      <c r="F42" s="111"/>
      <c r="G42" s="49">
        <v>1.8682049999999999</v>
      </c>
      <c r="H42" s="49">
        <v>1.6902999999999999</v>
      </c>
      <c r="I42" s="49">
        <v>0.84365500000000004</v>
      </c>
      <c r="J42" s="49">
        <v>1.7279549999999999</v>
      </c>
    </row>
    <row r="43" spans="1:10" x14ac:dyDescent="0.3">
      <c r="A43" s="111"/>
      <c r="B43" s="49">
        <v>2.2330700000000001</v>
      </c>
      <c r="C43" s="49">
        <v>1.4257599999999999</v>
      </c>
      <c r="D43" s="49">
        <v>1.6109199999999999</v>
      </c>
      <c r="E43" s="49">
        <v>1.553455</v>
      </c>
      <c r="F43" s="111"/>
      <c r="G43" s="49">
        <v>1.80884</v>
      </c>
      <c r="H43" s="49">
        <v>2.0894400000000002</v>
      </c>
      <c r="I43" s="49">
        <v>1.1250549999999999</v>
      </c>
      <c r="J43" s="49">
        <v>1.6873100000000001</v>
      </c>
    </row>
    <row r="44" spans="1:10" x14ac:dyDescent="0.3">
      <c r="A44" s="111"/>
      <c r="B44" s="49">
        <v>1.9280349999999999</v>
      </c>
      <c r="C44" s="49">
        <v>1.7862750000000001</v>
      </c>
      <c r="D44" s="49">
        <v>1.722485</v>
      </c>
      <c r="E44" s="49">
        <v>1.5801799999999999</v>
      </c>
      <c r="F44" s="111"/>
      <c r="G44" s="49">
        <v>2.048975</v>
      </c>
      <c r="H44" s="49">
        <v>1.8289150000000001</v>
      </c>
      <c r="I44" s="49">
        <v>1.326355</v>
      </c>
      <c r="J44" s="49">
        <v>1.48644</v>
      </c>
    </row>
    <row r="45" spans="1:10" x14ac:dyDescent="0.3">
      <c r="A45" s="111"/>
      <c r="B45" s="49">
        <v>1.958685</v>
      </c>
      <c r="C45" s="49">
        <v>1.467295</v>
      </c>
      <c r="D45" s="49">
        <v>1.754675</v>
      </c>
      <c r="E45" s="49">
        <v>1.6485000000000001</v>
      </c>
      <c r="F45" s="111"/>
      <c r="G45" s="49">
        <v>2.0088050000000002</v>
      </c>
      <c r="H45" s="49">
        <v>1.546835</v>
      </c>
      <c r="I45" s="49">
        <v>1.30566</v>
      </c>
      <c r="J45" s="49">
        <v>1.8480099999999999</v>
      </c>
    </row>
    <row r="46" spans="1:10" x14ac:dyDescent="0.3">
      <c r="A46" s="111"/>
      <c r="B46" s="49">
        <v>1.8184499999999999</v>
      </c>
      <c r="C46" s="49">
        <v>1.20167</v>
      </c>
      <c r="D46" s="49">
        <v>1.21254</v>
      </c>
      <c r="E46" s="49">
        <v>1.673975</v>
      </c>
      <c r="F46" s="111"/>
      <c r="G46" s="49">
        <v>2.1293199999999999</v>
      </c>
      <c r="H46" s="49">
        <v>1.948855</v>
      </c>
      <c r="I46" s="49">
        <v>1.265485</v>
      </c>
      <c r="J46" s="49">
        <v>1.4484950000000001</v>
      </c>
    </row>
    <row r="47" spans="1:10" x14ac:dyDescent="0.3">
      <c r="A47" s="111"/>
      <c r="B47" s="49">
        <v>1.918115</v>
      </c>
      <c r="C47" s="49">
        <v>1.5231399999999999</v>
      </c>
      <c r="D47" s="49">
        <v>1.946815</v>
      </c>
      <c r="E47" s="49">
        <v>1.6337999999999999</v>
      </c>
      <c r="F47" s="111"/>
      <c r="G47" s="49">
        <v>2.048975</v>
      </c>
      <c r="H47" s="49">
        <v>1.5070650000000001</v>
      </c>
      <c r="I47" s="49">
        <v>1.3860049999999999</v>
      </c>
      <c r="J47" s="49">
        <v>1.2460450000000001</v>
      </c>
    </row>
    <row r="48" spans="1:10" x14ac:dyDescent="0.3">
      <c r="A48" s="111"/>
      <c r="B48" s="49">
        <v>2.1112850000000001</v>
      </c>
      <c r="C48" s="49">
        <v>1.6033599999999999</v>
      </c>
      <c r="D48" s="49">
        <v>0.904775</v>
      </c>
      <c r="E48" s="49">
        <v>2.169565</v>
      </c>
      <c r="F48" s="111"/>
      <c r="G48" s="49">
        <v>2.0497649999999998</v>
      </c>
      <c r="H48" s="49">
        <v>1.6270500000000001</v>
      </c>
      <c r="I48" s="49">
        <v>1.486575</v>
      </c>
      <c r="J48" s="49">
        <v>1.3281750000000001</v>
      </c>
    </row>
    <row r="49" spans="1:10" x14ac:dyDescent="0.3">
      <c r="A49" s="111"/>
      <c r="B49" s="49">
        <v>2.73448</v>
      </c>
      <c r="C49" s="49">
        <v>1.82958</v>
      </c>
      <c r="D49" s="49">
        <v>1.7757750000000001</v>
      </c>
      <c r="E49" s="49">
        <v>2.2637749999999999</v>
      </c>
      <c r="F49" s="111"/>
      <c r="G49" s="49">
        <v>1.7084600000000001</v>
      </c>
      <c r="H49" s="49">
        <v>1.5667899999999999</v>
      </c>
      <c r="I49" s="49">
        <v>1.105515</v>
      </c>
      <c r="J49" s="49">
        <v>1.6877899999999999</v>
      </c>
    </row>
    <row r="50" spans="1:10" x14ac:dyDescent="0.3">
      <c r="A50" s="111"/>
      <c r="B50" s="49">
        <v>2.3623750000000001</v>
      </c>
      <c r="C50" s="49">
        <v>1.509865</v>
      </c>
      <c r="D50" s="49">
        <v>1.1909000000000001</v>
      </c>
      <c r="E50" s="49">
        <v>1.3932800000000001</v>
      </c>
      <c r="F50" s="111"/>
      <c r="G50" s="49">
        <v>1.9284600000000001</v>
      </c>
      <c r="H50" s="49">
        <v>1.606965</v>
      </c>
      <c r="I50" s="49">
        <v>0.97757000000000005</v>
      </c>
      <c r="J50" s="49">
        <v>1.326355</v>
      </c>
    </row>
    <row r="51" spans="1:10" x14ac:dyDescent="0.3">
      <c r="A51" s="111"/>
      <c r="B51" s="49">
        <v>2.1690499999999999</v>
      </c>
      <c r="C51" s="49">
        <v>1.8075699999999999</v>
      </c>
      <c r="D51" s="49">
        <v>1.8182100000000001</v>
      </c>
      <c r="E51" s="49">
        <v>1.8078350000000001</v>
      </c>
      <c r="F51" s="111"/>
      <c r="G51" s="49">
        <v>1.6613899999999999</v>
      </c>
      <c r="H51" s="49">
        <v>1.58802</v>
      </c>
      <c r="I51" s="49">
        <v>1.1784399999999999</v>
      </c>
      <c r="J51" s="49">
        <v>1.408385</v>
      </c>
    </row>
    <row r="52" spans="1:10" x14ac:dyDescent="0.3">
      <c r="A52" s="112"/>
      <c r="B52" s="49">
        <v>1.72366</v>
      </c>
      <c r="C52" s="49">
        <v>1.648085</v>
      </c>
      <c r="D52" s="49">
        <v>1.8820049999999999</v>
      </c>
      <c r="E52" s="49">
        <v>1.9151499999999999</v>
      </c>
      <c r="F52" s="112"/>
      <c r="G52" s="49">
        <v>1.6217349999999999</v>
      </c>
      <c r="H52" s="49">
        <v>1.486985</v>
      </c>
      <c r="I52" s="49">
        <v>1.2460450000000001</v>
      </c>
      <c r="J52" s="49">
        <v>1.7681150000000001</v>
      </c>
    </row>
    <row r="53" spans="1:10" x14ac:dyDescent="0.3">
      <c r="A53" s="27" t="s">
        <v>2</v>
      </c>
      <c r="B53" s="31">
        <f>AVERAGE(B3:B52)</f>
        <v>1.5833541999999996</v>
      </c>
      <c r="C53" s="31">
        <f t="shared" ref="C53:E53" si="0">AVERAGE(C3:C52)</f>
        <v>1.6091106000000002</v>
      </c>
      <c r="D53" s="31">
        <f t="shared" si="0"/>
        <v>1.6531676</v>
      </c>
      <c r="E53" s="31">
        <f t="shared" si="0"/>
        <v>1.8793259000000004</v>
      </c>
      <c r="F53" s="27" t="s">
        <v>2</v>
      </c>
      <c r="G53" s="31">
        <f t="shared" ref="G53" si="1">AVERAGE(G3:G52)</f>
        <v>1.9207361000000001</v>
      </c>
      <c r="H53" s="31">
        <f t="shared" ref="H53" si="2">AVERAGE(H3:H52)</f>
        <v>1.8252926999999999</v>
      </c>
      <c r="I53" s="31">
        <f t="shared" ref="I53" si="3">AVERAGE(I3:I52)</f>
        <v>1.2082485000000005</v>
      </c>
      <c r="J53" s="31">
        <f t="shared" ref="J53" si="4">AVERAGE(J3:J52)</f>
        <v>1.5674447999999996</v>
      </c>
    </row>
    <row r="54" spans="1:10" x14ac:dyDescent="0.3">
      <c r="A54" s="27" t="s">
        <v>3</v>
      </c>
      <c r="B54" s="31">
        <f>STDEV(B3:B52)</f>
        <v>0.48459239776727675</v>
      </c>
      <c r="C54" s="31">
        <f t="shared" ref="C54:J54" si="5">STDEV(C3:C52)</f>
        <v>0.19835942994884881</v>
      </c>
      <c r="D54" s="31">
        <f t="shared" si="5"/>
        <v>0.30917188167194731</v>
      </c>
      <c r="E54" s="31">
        <f t="shared" si="5"/>
        <v>0.25067085835464387</v>
      </c>
      <c r="F54" s="27" t="s">
        <v>3</v>
      </c>
      <c r="G54" s="31">
        <f t="shared" si="5"/>
        <v>0.21265967751577053</v>
      </c>
      <c r="H54" s="31">
        <f t="shared" si="5"/>
        <v>0.18747292774683455</v>
      </c>
      <c r="I54" s="31">
        <f t="shared" si="5"/>
        <v>0.19070205787779473</v>
      </c>
      <c r="J54" s="31">
        <f t="shared" si="5"/>
        <v>0.20589717771940771</v>
      </c>
    </row>
    <row r="55" spans="1:10" x14ac:dyDescent="0.3">
      <c r="B55" s="18"/>
      <c r="C55" s="18"/>
      <c r="D55" s="18"/>
      <c r="E55" s="18"/>
    </row>
    <row r="56" spans="1:10" x14ac:dyDescent="0.3">
      <c r="A56" s="122" t="s">
        <v>81</v>
      </c>
      <c r="B56" s="122"/>
      <c r="C56" s="122"/>
      <c r="D56" s="122"/>
      <c r="E56" s="122"/>
      <c r="F56" s="111"/>
      <c r="G56" s="122" t="s">
        <v>81</v>
      </c>
      <c r="H56" s="122"/>
      <c r="I56" s="122"/>
      <c r="J56" s="122"/>
    </row>
    <row r="57" spans="1:10" x14ac:dyDescent="0.3">
      <c r="A57" s="27" t="s">
        <v>72</v>
      </c>
      <c r="B57" s="27" t="s">
        <v>68</v>
      </c>
      <c r="C57" s="27" t="s">
        <v>69</v>
      </c>
      <c r="D57" s="27" t="s">
        <v>70</v>
      </c>
      <c r="E57" s="27" t="s">
        <v>71</v>
      </c>
      <c r="F57" s="111"/>
      <c r="G57" s="27" t="s">
        <v>76</v>
      </c>
      <c r="H57" s="27" t="s">
        <v>77</v>
      </c>
      <c r="I57" s="27" t="s">
        <v>78</v>
      </c>
      <c r="J57" s="27" t="s">
        <v>79</v>
      </c>
    </row>
    <row r="58" spans="1:10" x14ac:dyDescent="0.3">
      <c r="A58" s="110"/>
      <c r="B58" s="28">
        <v>10</v>
      </c>
      <c r="C58" s="28">
        <v>13</v>
      </c>
      <c r="D58" s="28">
        <v>30</v>
      </c>
      <c r="E58" s="28">
        <v>30</v>
      </c>
      <c r="F58" s="111"/>
      <c r="G58" s="28">
        <v>30</v>
      </c>
      <c r="H58" s="28">
        <v>60</v>
      </c>
      <c r="I58" s="28">
        <v>90</v>
      </c>
      <c r="J58" s="28">
        <v>150</v>
      </c>
    </row>
    <row r="59" spans="1:10" x14ac:dyDescent="0.3">
      <c r="A59" s="111"/>
      <c r="B59" s="28">
        <v>11</v>
      </c>
      <c r="C59" s="28">
        <v>10</v>
      </c>
      <c r="D59" s="28">
        <v>40</v>
      </c>
      <c r="E59" s="28">
        <v>40</v>
      </c>
      <c r="F59" s="111"/>
      <c r="G59" s="28">
        <v>40</v>
      </c>
      <c r="H59" s="28">
        <v>80</v>
      </c>
      <c r="I59" s="28">
        <v>70</v>
      </c>
      <c r="J59" s="28">
        <v>90</v>
      </c>
    </row>
    <row r="60" spans="1:10" x14ac:dyDescent="0.3">
      <c r="A60" s="112"/>
      <c r="B60" s="28">
        <v>10</v>
      </c>
      <c r="C60" s="28">
        <v>10</v>
      </c>
      <c r="D60" s="28">
        <v>30</v>
      </c>
      <c r="E60" s="28">
        <v>40</v>
      </c>
      <c r="F60" s="111"/>
      <c r="G60" s="28">
        <v>40</v>
      </c>
      <c r="H60" s="28">
        <v>60</v>
      </c>
      <c r="I60" s="28">
        <v>80</v>
      </c>
      <c r="J60" s="28">
        <v>80</v>
      </c>
    </row>
    <row r="61" spans="1:10" x14ac:dyDescent="0.3">
      <c r="A61" s="27" t="s">
        <v>2</v>
      </c>
      <c r="B61" s="31">
        <f>AVERAGE(B58:B60)</f>
        <v>10.333333333333334</v>
      </c>
      <c r="C61" s="31">
        <f t="shared" ref="C61:E61" si="6">AVERAGE(C58:C60)</f>
        <v>11</v>
      </c>
      <c r="D61" s="31">
        <f t="shared" si="6"/>
        <v>33.333333333333336</v>
      </c>
      <c r="E61" s="31">
        <f t="shared" si="6"/>
        <v>36.666666666666664</v>
      </c>
      <c r="F61" s="112"/>
      <c r="G61" s="28">
        <v>30</v>
      </c>
      <c r="H61" s="28">
        <v>70</v>
      </c>
      <c r="I61" s="28">
        <v>70</v>
      </c>
      <c r="J61" s="28">
        <v>90</v>
      </c>
    </row>
    <row r="62" spans="1:10" x14ac:dyDescent="0.3">
      <c r="A62" s="27" t="s">
        <v>3</v>
      </c>
      <c r="B62" s="31">
        <f>STDEV(B58:B60)</f>
        <v>0.57735026918962573</v>
      </c>
      <c r="C62" s="31">
        <f t="shared" ref="C62:E62" si="7">STDEV(C58:C60)</f>
        <v>1.7320508075688772</v>
      </c>
      <c r="D62" s="31">
        <f t="shared" si="7"/>
        <v>5.7735026918962511</v>
      </c>
      <c r="E62" s="31">
        <f t="shared" si="7"/>
        <v>5.7735026918962511</v>
      </c>
      <c r="F62" s="27" t="s">
        <v>2</v>
      </c>
      <c r="G62" s="31">
        <f>AVERAGE(G58:G61)</f>
        <v>35</v>
      </c>
      <c r="H62" s="31">
        <f t="shared" ref="H62:J62" si="8">AVERAGE(H58:H61)</f>
        <v>67.5</v>
      </c>
      <c r="I62" s="31">
        <f t="shared" si="8"/>
        <v>77.5</v>
      </c>
      <c r="J62" s="31">
        <f t="shared" si="8"/>
        <v>102.5</v>
      </c>
    </row>
    <row r="63" spans="1:10" x14ac:dyDescent="0.3">
      <c r="F63" s="27" t="s">
        <v>3</v>
      </c>
      <c r="G63" s="31">
        <f>STDEV(G58:G61)</f>
        <v>5.7735026918962582</v>
      </c>
      <c r="H63" s="31">
        <f t="shared" ref="H63:J63" si="9">STDEV(H58:H61)</f>
        <v>9.574271077563381</v>
      </c>
      <c r="I63" s="31">
        <f t="shared" si="9"/>
        <v>9.574271077563381</v>
      </c>
      <c r="J63" s="31">
        <f t="shared" si="9"/>
        <v>32.015621187164243</v>
      </c>
    </row>
    <row r="65" spans="1:10" x14ac:dyDescent="0.3">
      <c r="A65" s="122" t="s">
        <v>80</v>
      </c>
      <c r="B65" s="122"/>
      <c r="C65" s="122"/>
      <c r="D65" s="122"/>
      <c r="E65" s="122"/>
      <c r="F65" s="111"/>
      <c r="G65" s="122" t="s">
        <v>80</v>
      </c>
      <c r="H65" s="122"/>
      <c r="I65" s="122"/>
      <c r="J65" s="122"/>
    </row>
    <row r="66" spans="1:10" x14ac:dyDescent="0.3">
      <c r="A66" s="27" t="s">
        <v>72</v>
      </c>
      <c r="B66" s="27" t="s">
        <v>68</v>
      </c>
      <c r="C66" s="27" t="s">
        <v>69</v>
      </c>
      <c r="D66" s="27" t="s">
        <v>70</v>
      </c>
      <c r="E66" s="27" t="s">
        <v>71</v>
      </c>
      <c r="F66" s="111"/>
      <c r="G66" s="27" t="s">
        <v>76</v>
      </c>
      <c r="H66" s="27" t="s">
        <v>77</v>
      </c>
      <c r="I66" s="27" t="s">
        <v>78</v>
      </c>
      <c r="J66" s="27" t="s">
        <v>79</v>
      </c>
    </row>
    <row r="67" spans="1:10" x14ac:dyDescent="0.3">
      <c r="A67" s="110"/>
      <c r="B67" s="28">
        <v>15</v>
      </c>
      <c r="C67" s="28">
        <v>13</v>
      </c>
      <c r="D67" s="28">
        <v>32</v>
      </c>
      <c r="E67" s="28">
        <v>52</v>
      </c>
      <c r="F67" s="111"/>
      <c r="G67" s="28">
        <v>20</v>
      </c>
      <c r="H67" s="28">
        <v>30</v>
      </c>
      <c r="I67" s="28">
        <v>20</v>
      </c>
      <c r="J67" s="28">
        <v>21</v>
      </c>
    </row>
    <row r="68" spans="1:10" x14ac:dyDescent="0.3">
      <c r="A68" s="111"/>
      <c r="B68" s="28">
        <v>13</v>
      </c>
      <c r="C68" s="28">
        <v>10</v>
      </c>
      <c r="D68" s="28">
        <v>45</v>
      </c>
      <c r="E68" s="28">
        <v>60</v>
      </c>
      <c r="F68" s="111"/>
      <c r="G68" s="28">
        <v>22</v>
      </c>
      <c r="H68" s="28">
        <v>25</v>
      </c>
      <c r="I68" s="28">
        <v>22</v>
      </c>
      <c r="J68" s="28">
        <v>21</v>
      </c>
    </row>
    <row r="69" spans="1:10" x14ac:dyDescent="0.3">
      <c r="A69" s="112"/>
      <c r="B69" s="28">
        <v>15</v>
      </c>
      <c r="C69" s="28">
        <v>15</v>
      </c>
      <c r="D69" s="28">
        <v>42</v>
      </c>
      <c r="E69" s="28">
        <v>60</v>
      </c>
      <c r="F69" s="112"/>
      <c r="G69" s="28">
        <v>23</v>
      </c>
      <c r="H69" s="28">
        <v>27</v>
      </c>
      <c r="I69" s="28">
        <v>23</v>
      </c>
      <c r="J69" s="28">
        <v>18</v>
      </c>
    </row>
    <row r="70" spans="1:10" x14ac:dyDescent="0.3">
      <c r="A70" s="27" t="s">
        <v>2</v>
      </c>
      <c r="B70" s="31">
        <f>AVERAGE(B67:B69)</f>
        <v>14.333333333333334</v>
      </c>
      <c r="C70" s="31">
        <f t="shared" ref="C70" si="10">AVERAGE(C67:C69)</f>
        <v>12.666666666666666</v>
      </c>
      <c r="D70" s="31">
        <f t="shared" ref="D70" si="11">AVERAGE(D67:D69)</f>
        <v>39.666666666666664</v>
      </c>
      <c r="E70" s="31">
        <f t="shared" ref="E70" si="12">AVERAGE(E67:E69)</f>
        <v>57.333333333333336</v>
      </c>
      <c r="F70" s="27" t="s">
        <v>2</v>
      </c>
      <c r="G70" s="31">
        <f>AVERAGE(G67:G69)</f>
        <v>21.666666666666668</v>
      </c>
      <c r="H70" s="31">
        <f>AVERAGE(H67:H69)</f>
        <v>27.333333333333332</v>
      </c>
      <c r="I70" s="31">
        <f>AVERAGE(I67:I69)</f>
        <v>21.666666666666668</v>
      </c>
      <c r="J70" s="31">
        <f>AVERAGE(J67:J69)</f>
        <v>20</v>
      </c>
    </row>
    <row r="71" spans="1:10" x14ac:dyDescent="0.3">
      <c r="A71" s="27" t="s">
        <v>3</v>
      </c>
      <c r="B71" s="31">
        <f>STDEV(B67:B69)</f>
        <v>1.1547005383792517</v>
      </c>
      <c r="C71" s="31">
        <f t="shared" ref="C71:E71" si="13">STDEV(C67:C69)</f>
        <v>2.5166114784235849</v>
      </c>
      <c r="D71" s="31">
        <f t="shared" si="13"/>
        <v>6.8068592855540571</v>
      </c>
      <c r="E71" s="31">
        <f t="shared" si="13"/>
        <v>4.6188021535170067</v>
      </c>
      <c r="F71" s="27" t="s">
        <v>3</v>
      </c>
      <c r="G71" s="31">
        <f>STDEV(G67:G69)</f>
        <v>1.5275252316519465</v>
      </c>
      <c r="H71" s="31">
        <f>STDEV(H67:H69)</f>
        <v>2.5166114784235836</v>
      </c>
      <c r="I71" s="31">
        <f>STDEV(I67:I69)</f>
        <v>1.5275252316519465</v>
      </c>
      <c r="J71" s="31">
        <f>STDEV(J67:J69)</f>
        <v>1.7320508075688772</v>
      </c>
    </row>
  </sheetData>
  <mergeCells count="12">
    <mergeCell ref="A3:A52"/>
    <mergeCell ref="A1:E1"/>
    <mergeCell ref="G1:J1"/>
    <mergeCell ref="A56:E56"/>
    <mergeCell ref="G56:J56"/>
    <mergeCell ref="F1:F52"/>
    <mergeCell ref="A65:E65"/>
    <mergeCell ref="G65:J65"/>
    <mergeCell ref="A67:A69"/>
    <mergeCell ref="A58:A60"/>
    <mergeCell ref="F65:F69"/>
    <mergeCell ref="F56:F6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F91E-93CF-4DFC-949B-B15195C8B9D5}">
  <dimension ref="A2:Z68"/>
  <sheetViews>
    <sheetView zoomScale="55" zoomScaleNormal="55" workbookViewId="0">
      <selection activeCell="E40" sqref="E40"/>
    </sheetView>
  </sheetViews>
  <sheetFormatPr defaultColWidth="12.21875" defaultRowHeight="15.6" x14ac:dyDescent="0.3"/>
  <cols>
    <col min="1" max="1" width="12.21875" style="50"/>
    <col min="2" max="2" width="3.21875" style="50" bestFit="1" customWidth="1"/>
    <col min="3" max="9" width="12.21875" style="50"/>
    <col min="10" max="10" width="3.21875" style="50" bestFit="1" customWidth="1"/>
    <col min="11" max="20" width="12.21875" style="50"/>
    <col min="21" max="21" width="3.21875" style="50" bestFit="1" customWidth="1"/>
    <col min="22" max="16384" width="12.21875" style="50"/>
  </cols>
  <sheetData>
    <row r="2" spans="1:18" x14ac:dyDescent="0.3">
      <c r="C2" s="50" t="s">
        <v>138</v>
      </c>
      <c r="D2" s="63">
        <v>0.02</v>
      </c>
      <c r="K2" s="50" t="s">
        <v>138</v>
      </c>
      <c r="L2" s="63">
        <v>0.03</v>
      </c>
    </row>
    <row r="4" spans="1:18" x14ac:dyDescent="0.3">
      <c r="C4" s="70" t="s">
        <v>122</v>
      </c>
      <c r="D4" s="69" t="s">
        <v>137</v>
      </c>
      <c r="E4" s="50" t="s">
        <v>136</v>
      </c>
      <c r="K4" s="70" t="s">
        <v>122</v>
      </c>
      <c r="L4" s="69" t="s">
        <v>135</v>
      </c>
      <c r="M4" s="50" t="s">
        <v>134</v>
      </c>
      <c r="Q4" s="50" t="s">
        <v>119</v>
      </c>
      <c r="R4" s="63">
        <v>1.4999999999999999E-2</v>
      </c>
    </row>
    <row r="6" spans="1:18" x14ac:dyDescent="0.3">
      <c r="C6" s="68" t="s">
        <v>118</v>
      </c>
      <c r="D6" s="68" t="s">
        <v>117</v>
      </c>
      <c r="E6" s="68" t="s">
        <v>116</v>
      </c>
      <c r="F6" s="68" t="s">
        <v>115</v>
      </c>
      <c r="G6" s="68" t="s">
        <v>114</v>
      </c>
      <c r="K6" s="68" t="s">
        <v>118</v>
      </c>
      <c r="L6" s="68" t="s">
        <v>117</v>
      </c>
      <c r="M6" s="68" t="s">
        <v>116</v>
      </c>
      <c r="N6" s="68" t="s">
        <v>115</v>
      </c>
      <c r="O6" s="68" t="s">
        <v>114</v>
      </c>
    </row>
    <row r="7" spans="1:18" ht="15.9" customHeight="1" x14ac:dyDescent="0.3">
      <c r="A7" s="126" t="s">
        <v>113</v>
      </c>
      <c r="B7" s="126"/>
      <c r="C7" s="59">
        <f>10/60/24</f>
        <v>6.9444444444444441E-3</v>
      </c>
      <c r="D7" s="59">
        <v>1</v>
      </c>
      <c r="E7" s="59">
        <v>3</v>
      </c>
      <c r="F7" s="59">
        <f>7</f>
        <v>7</v>
      </c>
      <c r="G7" s="59">
        <f>14</f>
        <v>14</v>
      </c>
      <c r="I7" s="126" t="s">
        <v>113</v>
      </c>
      <c r="J7" s="126"/>
      <c r="K7" s="59">
        <f>10/60/24</f>
        <v>6.9444444444444441E-3</v>
      </c>
      <c r="L7" s="59">
        <v>1</v>
      </c>
      <c r="M7" s="59">
        <v>3</v>
      </c>
      <c r="N7" s="59">
        <f>7</f>
        <v>7</v>
      </c>
      <c r="O7" s="59">
        <f>14</f>
        <v>14</v>
      </c>
    </row>
    <row r="8" spans="1:18" ht="15.9" customHeight="1" x14ac:dyDescent="0.3">
      <c r="A8" s="123" t="s">
        <v>112</v>
      </c>
      <c r="B8" s="67" t="s">
        <v>111</v>
      </c>
      <c r="C8" s="55">
        <v>6.6</v>
      </c>
      <c r="D8" s="55">
        <v>6.7</v>
      </c>
      <c r="E8" s="55">
        <v>8.6999999999999993</v>
      </c>
      <c r="F8" s="55">
        <v>8.3000000000000007</v>
      </c>
      <c r="G8" s="55">
        <v>7.98</v>
      </c>
      <c r="I8" s="126" t="s">
        <v>112</v>
      </c>
      <c r="J8" s="67" t="s">
        <v>111</v>
      </c>
      <c r="K8" s="55">
        <v>9.3000000000000007</v>
      </c>
      <c r="L8" s="55">
        <v>10.63</v>
      </c>
      <c r="M8" s="55">
        <v>11.63</v>
      </c>
      <c r="N8" s="55">
        <v>10.64</v>
      </c>
      <c r="O8" s="55">
        <v>10.69</v>
      </c>
    </row>
    <row r="9" spans="1:18" x14ac:dyDescent="0.3">
      <c r="A9" s="124"/>
      <c r="B9" s="67" t="s">
        <v>110</v>
      </c>
      <c r="C9" s="55">
        <v>8.1</v>
      </c>
      <c r="D9" s="55">
        <v>10.6</v>
      </c>
      <c r="E9" s="55">
        <v>6.1</v>
      </c>
      <c r="F9" s="55">
        <v>8.9</v>
      </c>
      <c r="G9" s="55">
        <v>8.64</v>
      </c>
      <c r="I9" s="126"/>
      <c r="J9" s="67" t="s">
        <v>110</v>
      </c>
      <c r="K9" s="55">
        <v>10.1</v>
      </c>
      <c r="L9" s="55">
        <v>10.98</v>
      </c>
      <c r="M9" s="55">
        <v>10.38</v>
      </c>
      <c r="N9" s="55">
        <v>9.6300000000000008</v>
      </c>
      <c r="O9" s="55">
        <v>11.31</v>
      </c>
    </row>
    <row r="10" spans="1:18" x14ac:dyDescent="0.3">
      <c r="A10" s="124"/>
      <c r="B10" s="67" t="s">
        <v>109</v>
      </c>
      <c r="C10" s="55">
        <v>10.199999999999999</v>
      </c>
      <c r="D10" s="55">
        <v>8.6999999999999993</v>
      </c>
      <c r="E10" s="55">
        <v>10.3</v>
      </c>
      <c r="F10" s="55">
        <v>8.68</v>
      </c>
      <c r="G10" s="55">
        <v>7.25</v>
      </c>
      <c r="I10" s="126"/>
      <c r="J10" s="67" t="s">
        <v>109</v>
      </c>
      <c r="K10" s="55">
        <v>11.2</v>
      </c>
      <c r="L10" s="55">
        <v>11.35</v>
      </c>
      <c r="M10" s="55">
        <v>9.91</v>
      </c>
      <c r="N10" s="55">
        <v>8.9700000000000006</v>
      </c>
      <c r="O10" s="55">
        <v>8.31</v>
      </c>
    </row>
    <row r="11" spans="1:18" x14ac:dyDescent="0.3">
      <c r="A11" s="125"/>
      <c r="B11" s="67" t="s">
        <v>108</v>
      </c>
      <c r="C11" s="55">
        <v>11.2</v>
      </c>
      <c r="D11" s="55">
        <v>9.4600000000000009</v>
      </c>
      <c r="E11" s="55">
        <v>9.57</v>
      </c>
      <c r="F11" s="55">
        <v>8.6999999999999993</v>
      </c>
      <c r="G11" s="55">
        <v>9.98</v>
      </c>
      <c r="I11" s="126"/>
      <c r="J11" s="67" t="s">
        <v>108</v>
      </c>
      <c r="K11" s="55">
        <v>11.8</v>
      </c>
      <c r="L11" s="55">
        <v>8.69</v>
      </c>
      <c r="M11" s="55">
        <v>9.26</v>
      </c>
      <c r="N11" s="55">
        <v>11.35</v>
      </c>
      <c r="O11" s="55">
        <v>9.39</v>
      </c>
    </row>
    <row r="12" spans="1:18" ht="17.100000000000001" customHeight="1" x14ac:dyDescent="0.3">
      <c r="A12" s="126" t="s">
        <v>107</v>
      </c>
      <c r="B12" s="126"/>
      <c r="C12" s="54">
        <f>AVERAGE(C8:C11)</f>
        <v>9.0249999999999986</v>
      </c>
      <c r="D12" s="54">
        <f>AVERAGE(D8:D11)</f>
        <v>8.8650000000000002</v>
      </c>
      <c r="E12" s="54">
        <f>AVERAGE(E8:E11)</f>
        <v>8.6675000000000004</v>
      </c>
      <c r="F12" s="54">
        <f>AVERAGE(F8:F11)</f>
        <v>8.6449999999999996</v>
      </c>
      <c r="G12" s="54">
        <f>AVERAGE(G8:G11)</f>
        <v>8.4625000000000004</v>
      </c>
      <c r="I12" s="126" t="s">
        <v>107</v>
      </c>
      <c r="J12" s="126"/>
      <c r="K12" s="54">
        <f>AVERAGE(K8:K11)</f>
        <v>10.6</v>
      </c>
      <c r="L12" s="54">
        <f>AVERAGE(L8:L11)</f>
        <v>10.4125</v>
      </c>
      <c r="M12" s="54">
        <f>AVERAGE(M8:M11)</f>
        <v>10.295</v>
      </c>
      <c r="N12" s="54">
        <f>AVERAGE(N8:N11)</f>
        <v>10.147500000000001</v>
      </c>
      <c r="O12" s="54">
        <f>AVERAGE(O8:O11)</f>
        <v>9.9250000000000007</v>
      </c>
    </row>
    <row r="13" spans="1:18" ht="17.100000000000001" customHeight="1" x14ac:dyDescent="0.3">
      <c r="A13" s="126" t="s">
        <v>106</v>
      </c>
      <c r="B13" s="126"/>
      <c r="C13" s="54">
        <f>STDEV(C8:C11)</f>
        <v>2.0694202086574944</v>
      </c>
      <c r="D13" s="54">
        <f>STDEV(D8:D11)</f>
        <v>1.6410057891427408</v>
      </c>
      <c r="E13" s="54">
        <f>STDEV(E8:E11)</f>
        <v>1.8323641377557396</v>
      </c>
      <c r="F13" s="54">
        <f>STDEV(F8:F11)</f>
        <v>0.25053276565484706</v>
      </c>
      <c r="G13" s="54">
        <f>STDEV(G8:G11)</f>
        <v>1.1600682451189415</v>
      </c>
      <c r="I13" s="126" t="s">
        <v>106</v>
      </c>
      <c r="J13" s="126"/>
      <c r="K13" s="54">
        <f>STDEV(K8:K11)</f>
        <v>1.1165422816296149</v>
      </c>
      <c r="L13" s="54">
        <f>STDEV(L8:L11)</f>
        <v>1.185365625731853</v>
      </c>
      <c r="M13" s="54">
        <f>STDEV(M8:M11)</f>
        <v>1.0014822348232981</v>
      </c>
      <c r="N13" s="54">
        <f>STDEV(N8:N11)</f>
        <v>1.0556001452570314</v>
      </c>
      <c r="O13" s="54">
        <f>STDEV(O8:O11)</f>
        <v>1.341379886534757</v>
      </c>
    </row>
    <row r="14" spans="1:18" ht="17.100000000000001" customHeight="1" x14ac:dyDescent="0.3">
      <c r="A14" s="126" t="s">
        <v>105</v>
      </c>
      <c r="B14" s="126"/>
      <c r="C14" s="53">
        <f>C12/$C12</f>
        <v>1</v>
      </c>
      <c r="D14" s="53">
        <f>D12/$C12</f>
        <v>0.98227146814404454</v>
      </c>
      <c r="E14" s="53">
        <f>E12/$C12</f>
        <v>0.96038781163434928</v>
      </c>
      <c r="F14" s="53">
        <f>F12/$C12</f>
        <v>0.95789473684210535</v>
      </c>
      <c r="G14" s="53">
        <f>G12/$C12</f>
        <v>0.93767313019390597</v>
      </c>
      <c r="I14" s="126" t="s">
        <v>105</v>
      </c>
      <c r="J14" s="126"/>
      <c r="K14" s="53">
        <f>K12/$K12</f>
        <v>1</v>
      </c>
      <c r="L14" s="53">
        <f>L12/$K12</f>
        <v>0.98231132075471694</v>
      </c>
      <c r="M14" s="53">
        <f>M12/$K12</f>
        <v>0.9712264150943396</v>
      </c>
      <c r="N14" s="53">
        <f>N12/$K12</f>
        <v>0.95731132075471714</v>
      </c>
      <c r="O14" s="53">
        <f>O12/$K12</f>
        <v>0.93632075471698128</v>
      </c>
    </row>
    <row r="15" spans="1:18" ht="17.100000000000001" customHeight="1" x14ac:dyDescent="0.3">
      <c r="A15" s="126" t="s">
        <v>104</v>
      </c>
      <c r="B15" s="126"/>
      <c r="C15" s="53">
        <f>($C13+C13)/($C12+C12)</f>
        <v>0.22929863807839276</v>
      </c>
      <c r="D15" s="53">
        <f>($C13+D13)/($C12+D12)</f>
        <v>0.20740223576300923</v>
      </c>
      <c r="E15" s="53">
        <f>($C13+E13)/($C12+E12)</f>
        <v>0.22053323987074944</v>
      </c>
      <c r="F15" s="53">
        <f>($C13+F13)/($C12+F12)</f>
        <v>0.13129332056097012</v>
      </c>
      <c r="G15" s="53">
        <f>($C13+G13)/($C12+G12)</f>
        <v>0.18467410743539309</v>
      </c>
      <c r="I15" s="126" t="s">
        <v>104</v>
      </c>
      <c r="J15" s="126"/>
      <c r="K15" s="53">
        <f>($K13+K13)/($K12+K12)</f>
        <v>0.10533417751222782</v>
      </c>
      <c r="L15" s="53">
        <f>($K13+L13)/($K12+L12)</f>
        <v>0.10954945424682773</v>
      </c>
      <c r="M15" s="53">
        <f>($K13+M13)/($K12+M12)</f>
        <v>0.10136513598721766</v>
      </c>
      <c r="N15" s="53">
        <f>($K13+N13)/($K12+N12)</f>
        <v>0.10469417649772965</v>
      </c>
      <c r="O15" s="53">
        <f>($K13+O13)/($K12+O12)</f>
        <v>0.1197526025902252</v>
      </c>
    </row>
    <row r="18" spans="1:26" x14ac:dyDescent="0.3">
      <c r="A18" s="62"/>
      <c r="B18" s="62"/>
      <c r="C18" s="65" t="s">
        <v>122</v>
      </c>
      <c r="D18" s="64" t="s">
        <v>133</v>
      </c>
      <c r="E18" s="62" t="s">
        <v>132</v>
      </c>
      <c r="F18" s="62"/>
      <c r="G18" s="62"/>
      <c r="I18" s="62"/>
      <c r="J18" s="62"/>
      <c r="K18" s="65" t="s">
        <v>122</v>
      </c>
      <c r="L18" s="64" t="s">
        <v>131</v>
      </c>
      <c r="M18" s="62" t="s">
        <v>130</v>
      </c>
      <c r="N18" s="62"/>
      <c r="O18" s="62"/>
      <c r="Q18" s="50" t="s">
        <v>119</v>
      </c>
      <c r="R18" s="63">
        <v>0.01</v>
      </c>
    </row>
    <row r="19" spans="1:26" x14ac:dyDescent="0.3">
      <c r="A19" s="62"/>
      <c r="B19" s="62"/>
      <c r="C19" s="62"/>
      <c r="D19" s="62"/>
      <c r="E19" s="62"/>
      <c r="F19" s="62"/>
      <c r="G19" s="62"/>
      <c r="I19" s="62"/>
      <c r="J19" s="62"/>
      <c r="K19" s="62"/>
      <c r="L19" s="62"/>
      <c r="M19" s="62"/>
      <c r="N19" s="62"/>
      <c r="O19" s="62"/>
    </row>
    <row r="20" spans="1:26" x14ac:dyDescent="0.3">
      <c r="A20" s="62"/>
      <c r="B20" s="62"/>
      <c r="C20" s="61" t="s">
        <v>118</v>
      </c>
      <c r="D20" s="60" t="s">
        <v>117</v>
      </c>
      <c r="E20" s="60" t="s">
        <v>116</v>
      </c>
      <c r="F20" s="60" t="s">
        <v>115</v>
      </c>
      <c r="G20" s="60" t="s">
        <v>114</v>
      </c>
      <c r="I20" s="62"/>
      <c r="J20" s="62"/>
      <c r="K20" s="61" t="s">
        <v>118</v>
      </c>
      <c r="L20" s="60" t="s">
        <v>117</v>
      </c>
      <c r="M20" s="60" t="s">
        <v>116</v>
      </c>
      <c r="N20" s="60" t="s">
        <v>115</v>
      </c>
      <c r="O20" s="60" t="s">
        <v>114</v>
      </c>
    </row>
    <row r="21" spans="1:26" ht="15.9" customHeight="1" x14ac:dyDescent="0.3">
      <c r="A21" s="126" t="s">
        <v>113</v>
      </c>
      <c r="B21" s="126"/>
      <c r="C21" s="59">
        <f>10/60/24</f>
        <v>6.9444444444444441E-3</v>
      </c>
      <c r="D21" s="59">
        <v>1</v>
      </c>
      <c r="E21" s="59">
        <v>3</v>
      </c>
      <c r="F21" s="59">
        <f>7</f>
        <v>7</v>
      </c>
      <c r="G21" s="59">
        <f>14</f>
        <v>14</v>
      </c>
      <c r="I21" s="126" t="s">
        <v>113</v>
      </c>
      <c r="J21" s="126"/>
      <c r="K21" s="59">
        <f>10/60/24</f>
        <v>6.9444444444444441E-3</v>
      </c>
      <c r="L21" s="59">
        <v>1</v>
      </c>
      <c r="M21" s="59">
        <v>3</v>
      </c>
      <c r="N21" s="59">
        <f>7</f>
        <v>7</v>
      </c>
      <c r="O21" s="59">
        <f>14</f>
        <v>14</v>
      </c>
    </row>
    <row r="22" spans="1:26" x14ac:dyDescent="0.3">
      <c r="A22" s="127" t="s">
        <v>112</v>
      </c>
      <c r="B22" s="58" t="s">
        <v>111</v>
      </c>
      <c r="C22" s="55">
        <v>9.5</v>
      </c>
      <c r="D22" s="55">
        <v>5.9</v>
      </c>
      <c r="E22" s="55">
        <v>5.8</v>
      </c>
      <c r="F22" s="55">
        <v>5.8</v>
      </c>
      <c r="G22" s="55">
        <v>6.27</v>
      </c>
      <c r="I22" s="127" t="s">
        <v>112</v>
      </c>
      <c r="J22" s="58" t="s">
        <v>111</v>
      </c>
      <c r="K22" s="55">
        <v>11.4</v>
      </c>
      <c r="L22" s="55">
        <v>10.4</v>
      </c>
      <c r="M22" s="55">
        <v>10.68</v>
      </c>
      <c r="N22" s="55">
        <v>9.31</v>
      </c>
      <c r="O22" s="55">
        <v>9.3699999999999992</v>
      </c>
    </row>
    <row r="23" spans="1:26" x14ac:dyDescent="0.3">
      <c r="A23" s="128"/>
      <c r="B23" s="56" t="s">
        <v>110</v>
      </c>
      <c r="C23" s="55">
        <v>9.1999999999999993</v>
      </c>
      <c r="D23" s="55">
        <v>6.2</v>
      </c>
      <c r="E23" s="55">
        <v>5.6</v>
      </c>
      <c r="F23" s="55">
        <v>4.5999999999999996</v>
      </c>
      <c r="G23" s="55">
        <v>5.91</v>
      </c>
      <c r="I23" s="128"/>
      <c r="J23" s="56" t="s">
        <v>110</v>
      </c>
      <c r="K23" s="55">
        <v>13.5</v>
      </c>
      <c r="L23" s="55">
        <v>9.9</v>
      </c>
      <c r="M23" s="55">
        <v>10.31</v>
      </c>
      <c r="N23" s="55">
        <v>8.69</v>
      </c>
      <c r="O23" s="55">
        <v>8.8000000000000007</v>
      </c>
    </row>
    <row r="24" spans="1:26" x14ac:dyDescent="0.3">
      <c r="A24" s="128"/>
      <c r="B24" s="56" t="s">
        <v>109</v>
      </c>
      <c r="C24" s="55">
        <v>8.6999999999999993</v>
      </c>
      <c r="D24" s="55">
        <v>6.6</v>
      </c>
      <c r="E24" s="55">
        <v>5.3</v>
      </c>
      <c r="F24" s="55">
        <v>4.7</v>
      </c>
      <c r="G24" s="55">
        <v>7.25</v>
      </c>
      <c r="I24" s="128"/>
      <c r="J24" s="56" t="s">
        <v>109</v>
      </c>
      <c r="K24" s="55">
        <v>8.5</v>
      </c>
      <c r="L24" s="55">
        <v>9.6</v>
      </c>
      <c r="M24" s="55">
        <v>8.25</v>
      </c>
      <c r="N24" s="55">
        <v>11.64</v>
      </c>
      <c r="O24" s="55">
        <v>8.64</v>
      </c>
    </row>
    <row r="25" spans="1:26" x14ac:dyDescent="0.3">
      <c r="A25" s="129"/>
      <c r="B25" s="56" t="s">
        <v>108</v>
      </c>
      <c r="C25" s="55">
        <v>10.6</v>
      </c>
      <c r="D25" s="55">
        <v>10.4</v>
      </c>
      <c r="E25" s="55">
        <v>9.6</v>
      </c>
      <c r="F25" s="55">
        <v>7.2</v>
      </c>
      <c r="G25" s="55">
        <v>5.67</v>
      </c>
      <c r="I25" s="129"/>
      <c r="J25" s="56" t="s">
        <v>108</v>
      </c>
      <c r="K25" s="55">
        <v>8.3000000000000007</v>
      </c>
      <c r="L25" s="55">
        <v>9.8000000000000007</v>
      </c>
      <c r="M25" s="55">
        <v>9.93</v>
      </c>
      <c r="N25" s="66">
        <v>9.3000000000000007</v>
      </c>
      <c r="O25" s="55">
        <v>10.96</v>
      </c>
    </row>
    <row r="26" spans="1:26" x14ac:dyDescent="0.3">
      <c r="A26" s="126" t="s">
        <v>107</v>
      </c>
      <c r="B26" s="126"/>
      <c r="C26" s="54">
        <f>AVERAGE(C22:C25)</f>
        <v>9.5</v>
      </c>
      <c r="D26" s="54">
        <f>AVERAGE(D22:D25)</f>
        <v>7.2750000000000004</v>
      </c>
      <c r="E26" s="54">
        <f>AVERAGE(E22:E25)</f>
        <v>6.5749999999999993</v>
      </c>
      <c r="F26" s="54">
        <f>AVERAGE(F22:F25)</f>
        <v>5.5749999999999993</v>
      </c>
      <c r="G26" s="54">
        <f>AVERAGE(G22:G25)</f>
        <v>6.2750000000000004</v>
      </c>
      <c r="I26" s="126" t="s">
        <v>107</v>
      </c>
      <c r="J26" s="126"/>
      <c r="K26" s="54">
        <f>AVERAGE(K22:K25)</f>
        <v>10.425000000000001</v>
      </c>
      <c r="L26" s="54">
        <f>AVERAGE(L22:L25)</f>
        <v>9.9250000000000007</v>
      </c>
      <c r="M26" s="54">
        <f>AVERAGE(M22:M25)</f>
        <v>9.7925000000000004</v>
      </c>
      <c r="N26" s="54">
        <f>AVERAGE(N22:N25)</f>
        <v>9.7349999999999994</v>
      </c>
      <c r="O26" s="54">
        <f>AVERAGE(O22:O25)</f>
        <v>9.4425000000000008</v>
      </c>
    </row>
    <row r="27" spans="1:26" x14ac:dyDescent="0.3">
      <c r="A27" s="126" t="s">
        <v>106</v>
      </c>
      <c r="B27" s="126"/>
      <c r="C27" s="54">
        <f>STDEV(C22:C25)</f>
        <v>0.80415587212098805</v>
      </c>
      <c r="D27" s="54">
        <f>STDEV(D22:D25)</f>
        <v>2.1029740844813101</v>
      </c>
      <c r="E27" s="54">
        <f>STDEV(E22:E25)</f>
        <v>2.0271079563424048</v>
      </c>
      <c r="F27" s="54">
        <f>STDEV(F22:F25)</f>
        <v>1.2120918557051215</v>
      </c>
      <c r="G27" s="54">
        <f>STDEV(G22:G25)</f>
        <v>0.69519781357538801</v>
      </c>
      <c r="I27" s="126" t="s">
        <v>106</v>
      </c>
      <c r="J27" s="126"/>
      <c r="K27" s="54">
        <f>STDEV(K22:K25)</f>
        <v>2.4918199506919931</v>
      </c>
      <c r="L27" s="54">
        <f>STDEV(L22:L25)</f>
        <v>0.34034296427770244</v>
      </c>
      <c r="M27" s="54">
        <f>STDEV(M22:M25)</f>
        <v>1.0729515366501881</v>
      </c>
      <c r="N27" s="54">
        <f>STDEV(N22:N25)</f>
        <v>1.3026767314520957</v>
      </c>
      <c r="O27" s="54">
        <f>STDEV(O22:O25)</f>
        <v>1.0590679864862313</v>
      </c>
    </row>
    <row r="28" spans="1:26" ht="17.100000000000001" customHeight="1" x14ac:dyDescent="0.3">
      <c r="A28" s="126" t="s">
        <v>105</v>
      </c>
      <c r="B28" s="126"/>
      <c r="C28" s="53">
        <f>C26/$C26</f>
        <v>1</v>
      </c>
      <c r="D28" s="53">
        <f>D26/$C26</f>
        <v>0.76578947368421058</v>
      </c>
      <c r="E28" s="53">
        <f>E26/$C26</f>
        <v>0.69210526315789467</v>
      </c>
      <c r="F28" s="53">
        <f>F26/$C26</f>
        <v>0.58684210526315783</v>
      </c>
      <c r="G28" s="53">
        <f>G26/$C26</f>
        <v>0.66052631578947374</v>
      </c>
      <c r="I28" s="126" t="s">
        <v>105</v>
      </c>
      <c r="J28" s="126"/>
      <c r="K28" s="53">
        <f>K26/$K26</f>
        <v>1</v>
      </c>
      <c r="L28" s="53">
        <f>L26/$K26</f>
        <v>0.95203836930455632</v>
      </c>
      <c r="M28" s="53">
        <f>M26/$K26</f>
        <v>0.93932853717026377</v>
      </c>
      <c r="N28" s="53">
        <f>N26/$K26</f>
        <v>0.9338129496402876</v>
      </c>
      <c r="O28" s="53">
        <f>O26/$K26</f>
        <v>0.9057553956834532</v>
      </c>
    </row>
    <row r="29" spans="1:26" ht="17.100000000000001" customHeight="1" x14ac:dyDescent="0.3">
      <c r="A29" s="126" t="s">
        <v>104</v>
      </c>
      <c r="B29" s="126"/>
      <c r="C29" s="53">
        <f>($C27+C27)/($C26+C26)</f>
        <v>8.4647986539051367E-2</v>
      </c>
      <c r="D29" s="53">
        <f>($C27+D27)/($C26+D26)</f>
        <v>0.17330133869462286</v>
      </c>
      <c r="E29" s="53">
        <f>($C27+E27)/($C26+E26)</f>
        <v>0.17612838746273052</v>
      </c>
      <c r="F29" s="53">
        <f>($C27+F27)/($C26+F26)</f>
        <v>0.13374777630687293</v>
      </c>
      <c r="G29" s="53">
        <f>($C27+G27)/($C26+G26)</f>
        <v>9.5046192437171217E-2</v>
      </c>
      <c r="I29" s="126" t="s">
        <v>104</v>
      </c>
      <c r="J29" s="126"/>
      <c r="K29" s="53">
        <f>($K27+K27)/($K26+K26)</f>
        <v>0.23902349646925591</v>
      </c>
      <c r="L29" s="53">
        <f>($K27+L27)/($K26+L26)</f>
        <v>0.13917262481423565</v>
      </c>
      <c r="M29" s="53">
        <f>($K27+M27)/($K26+M26)</f>
        <v>0.17632108259390039</v>
      </c>
      <c r="N29" s="53">
        <f>($K27+N27)/($K26+N26)</f>
        <v>0.18821908145555996</v>
      </c>
      <c r="O29" s="53">
        <f>($K27+O27)/($K26+O26)</f>
        <v>0.17872847299248643</v>
      </c>
    </row>
    <row r="32" spans="1:26" x14ac:dyDescent="0.3">
      <c r="A32" s="62"/>
      <c r="B32" s="62"/>
      <c r="C32" s="65" t="s">
        <v>122</v>
      </c>
      <c r="D32" s="64" t="s">
        <v>129</v>
      </c>
      <c r="E32" s="62" t="s">
        <v>128</v>
      </c>
      <c r="F32" s="62"/>
      <c r="G32" s="62"/>
      <c r="I32" s="62"/>
      <c r="J32" s="62"/>
      <c r="K32" s="65" t="s">
        <v>122</v>
      </c>
      <c r="L32" s="64" t="s">
        <v>127</v>
      </c>
      <c r="M32" s="62" t="s">
        <v>126</v>
      </c>
      <c r="N32" s="62"/>
      <c r="O32" s="62"/>
      <c r="Q32" s="50" t="s">
        <v>119</v>
      </c>
      <c r="R32" s="63">
        <v>5.0000000000000001E-3</v>
      </c>
      <c r="T32" s="62"/>
      <c r="U32" s="62"/>
      <c r="V32" s="65" t="s">
        <v>122</v>
      </c>
      <c r="W32" s="64" t="s">
        <v>125</v>
      </c>
      <c r="X32" s="62"/>
      <c r="Y32" s="62"/>
      <c r="Z32" s="62"/>
    </row>
    <row r="33" spans="1:26" x14ac:dyDescent="0.3">
      <c r="A33" s="62"/>
      <c r="B33" s="62"/>
      <c r="C33" s="62"/>
      <c r="D33" s="62"/>
      <c r="E33" s="62"/>
      <c r="F33" s="62"/>
      <c r="G33" s="62"/>
      <c r="I33" s="62"/>
      <c r="J33" s="62"/>
      <c r="K33" s="62"/>
      <c r="L33" s="62"/>
      <c r="M33" s="62"/>
      <c r="N33" s="62"/>
      <c r="O33" s="62"/>
      <c r="T33" s="62"/>
      <c r="U33" s="62"/>
      <c r="V33" s="62"/>
      <c r="W33" s="62"/>
      <c r="X33" s="62"/>
      <c r="Y33" s="62"/>
      <c r="Z33" s="62"/>
    </row>
    <row r="34" spans="1:26" x14ac:dyDescent="0.3">
      <c r="A34" s="62"/>
      <c r="B34" s="62"/>
      <c r="C34" s="61" t="s">
        <v>118</v>
      </c>
      <c r="D34" s="60" t="s">
        <v>117</v>
      </c>
      <c r="E34" s="60" t="s">
        <v>116</v>
      </c>
      <c r="F34" s="60" t="s">
        <v>115</v>
      </c>
      <c r="G34" s="60" t="s">
        <v>114</v>
      </c>
      <c r="I34" s="62"/>
      <c r="J34" s="62"/>
      <c r="K34" s="61" t="s">
        <v>118</v>
      </c>
      <c r="L34" s="60" t="s">
        <v>117</v>
      </c>
      <c r="M34" s="60" t="s">
        <v>116</v>
      </c>
      <c r="N34" s="60" t="s">
        <v>115</v>
      </c>
      <c r="O34" s="60" t="s">
        <v>114</v>
      </c>
      <c r="T34" s="62"/>
      <c r="U34" s="62"/>
      <c r="V34" s="61" t="s">
        <v>118</v>
      </c>
      <c r="W34" s="60" t="s">
        <v>117</v>
      </c>
      <c r="X34" s="60" t="s">
        <v>116</v>
      </c>
      <c r="Y34" s="60" t="s">
        <v>115</v>
      </c>
      <c r="Z34" s="60" t="s">
        <v>114</v>
      </c>
    </row>
    <row r="35" spans="1:26" ht="15.9" customHeight="1" x14ac:dyDescent="0.3">
      <c r="A35" s="126" t="s">
        <v>113</v>
      </c>
      <c r="B35" s="126"/>
      <c r="C35" s="59">
        <f>10/60/24</f>
        <v>6.9444444444444441E-3</v>
      </c>
      <c r="D35" s="59">
        <v>1</v>
      </c>
      <c r="E35" s="59">
        <v>3</v>
      </c>
      <c r="F35" s="59">
        <f>7</f>
        <v>7</v>
      </c>
      <c r="G35" s="59">
        <f>14</f>
        <v>14</v>
      </c>
      <c r="I35" s="126" t="s">
        <v>113</v>
      </c>
      <c r="J35" s="126"/>
      <c r="K35" s="59">
        <f>10/60/24</f>
        <v>6.9444444444444441E-3</v>
      </c>
      <c r="L35" s="59">
        <v>1</v>
      </c>
      <c r="M35" s="59">
        <v>3</v>
      </c>
      <c r="N35" s="59">
        <f>7</f>
        <v>7</v>
      </c>
      <c r="O35" s="59">
        <f>14</f>
        <v>14</v>
      </c>
      <c r="T35" s="126" t="s">
        <v>113</v>
      </c>
      <c r="U35" s="126"/>
      <c r="V35" s="59">
        <f>10/60/24</f>
        <v>6.9444444444444441E-3</v>
      </c>
      <c r="W35" s="59">
        <v>1</v>
      </c>
      <c r="X35" s="59">
        <v>3</v>
      </c>
      <c r="Y35" s="59">
        <f>7</f>
        <v>7</v>
      </c>
      <c r="Z35" s="59">
        <f>14</f>
        <v>14</v>
      </c>
    </row>
    <row r="36" spans="1:26" x14ac:dyDescent="0.3">
      <c r="A36" s="127" t="s">
        <v>112</v>
      </c>
      <c r="B36" s="58" t="s">
        <v>111</v>
      </c>
      <c r="C36" s="55">
        <v>7.1</v>
      </c>
      <c r="D36" s="55">
        <v>6.7</v>
      </c>
      <c r="E36" s="55">
        <v>5.0999999999999996</v>
      </c>
      <c r="F36" s="55">
        <v>4.5999999999999996</v>
      </c>
      <c r="G36" s="55">
        <v>4.24</v>
      </c>
      <c r="I36" s="127" t="s">
        <v>112</v>
      </c>
      <c r="J36" s="58" t="s">
        <v>111</v>
      </c>
      <c r="K36" s="55">
        <v>14.5</v>
      </c>
      <c r="L36" s="55">
        <v>13.8</v>
      </c>
      <c r="M36" s="55">
        <v>11.98</v>
      </c>
      <c r="N36" s="55">
        <v>10.8</v>
      </c>
      <c r="O36" s="55">
        <v>12.2</v>
      </c>
      <c r="T36" s="127" t="s">
        <v>112</v>
      </c>
      <c r="U36" s="58" t="s">
        <v>111</v>
      </c>
      <c r="V36" s="55">
        <v>7.6</v>
      </c>
      <c r="W36" s="55">
        <v>9.6</v>
      </c>
      <c r="X36" s="55">
        <v>9</v>
      </c>
      <c r="Y36" s="55">
        <v>10.4</v>
      </c>
      <c r="Z36" s="55">
        <v>6.2</v>
      </c>
    </row>
    <row r="37" spans="1:26" x14ac:dyDescent="0.3">
      <c r="A37" s="128"/>
      <c r="B37" s="56" t="s">
        <v>110</v>
      </c>
      <c r="C37" s="55">
        <v>7.4</v>
      </c>
      <c r="D37" s="55">
        <v>5</v>
      </c>
      <c r="E37" s="55">
        <v>4.5999999999999996</v>
      </c>
      <c r="F37" s="55">
        <v>4.0999999999999996</v>
      </c>
      <c r="G37" s="55">
        <v>3.84</v>
      </c>
      <c r="I37" s="128"/>
      <c r="J37" s="56" t="s">
        <v>110</v>
      </c>
      <c r="K37" s="55">
        <v>13.7</v>
      </c>
      <c r="L37" s="55">
        <v>9.9</v>
      </c>
      <c r="M37" s="55">
        <v>12.91</v>
      </c>
      <c r="N37" s="55">
        <v>11.4</v>
      </c>
      <c r="O37" s="55">
        <v>10.63</v>
      </c>
      <c r="T37" s="128"/>
      <c r="U37" s="56" t="s">
        <v>110</v>
      </c>
      <c r="V37" s="55">
        <v>6.8</v>
      </c>
      <c r="W37" s="55">
        <v>8.4</v>
      </c>
      <c r="X37" s="55">
        <v>8.8000000000000007</v>
      </c>
      <c r="Y37" s="55">
        <v>10.8</v>
      </c>
      <c r="Z37" s="55">
        <v>5.0999999999999996</v>
      </c>
    </row>
    <row r="38" spans="1:26" x14ac:dyDescent="0.3">
      <c r="A38" s="128"/>
      <c r="B38" s="56" t="s">
        <v>109</v>
      </c>
      <c r="C38" s="55">
        <v>6.8</v>
      </c>
      <c r="D38" s="55">
        <v>5.5</v>
      </c>
      <c r="E38" s="55">
        <v>4.9000000000000004</v>
      </c>
      <c r="F38" s="55">
        <v>4</v>
      </c>
      <c r="G38" s="55">
        <v>4.91</v>
      </c>
      <c r="I38" s="128"/>
      <c r="J38" s="56" t="s">
        <v>109</v>
      </c>
      <c r="K38" s="55">
        <v>13.7</v>
      </c>
      <c r="L38" s="55">
        <v>12.9</v>
      </c>
      <c r="M38" s="55">
        <v>12.3</v>
      </c>
      <c r="N38" s="55">
        <v>11.5</v>
      </c>
      <c r="O38" s="55">
        <v>9.4</v>
      </c>
      <c r="T38" s="128"/>
      <c r="U38" s="56" t="s">
        <v>109</v>
      </c>
      <c r="V38" s="55">
        <v>7.6</v>
      </c>
      <c r="W38" s="55">
        <v>10.3</v>
      </c>
      <c r="X38" s="55">
        <v>9.3000000000000007</v>
      </c>
      <c r="Y38" s="55">
        <v>4.7</v>
      </c>
      <c r="Z38" s="55">
        <v>4.9000000000000004</v>
      </c>
    </row>
    <row r="39" spans="1:26" x14ac:dyDescent="0.3">
      <c r="A39" s="129"/>
      <c r="B39" s="56" t="s">
        <v>108</v>
      </c>
      <c r="C39" s="55">
        <v>6.8</v>
      </c>
      <c r="D39" s="55">
        <v>4.2</v>
      </c>
      <c r="E39" s="55">
        <v>3.9</v>
      </c>
      <c r="F39" s="55">
        <v>4.5</v>
      </c>
      <c r="G39" s="55">
        <v>3.59</v>
      </c>
      <c r="I39" s="129"/>
      <c r="J39" s="56" t="s">
        <v>108</v>
      </c>
      <c r="K39" s="55">
        <v>10.6</v>
      </c>
      <c r="L39" s="55">
        <v>13.5</v>
      </c>
      <c r="M39" s="55">
        <v>10.9</v>
      </c>
      <c r="N39" s="55">
        <v>13.1</v>
      </c>
      <c r="O39" s="55">
        <v>9</v>
      </c>
      <c r="T39" s="129"/>
      <c r="U39" s="56" t="s">
        <v>108</v>
      </c>
      <c r="V39" s="55">
        <v>7.7</v>
      </c>
      <c r="W39" s="55">
        <v>9.1999999999999993</v>
      </c>
      <c r="X39" s="55">
        <v>9.6</v>
      </c>
      <c r="Y39" s="55">
        <v>2.4</v>
      </c>
      <c r="Z39" s="55">
        <v>4.8</v>
      </c>
    </row>
    <row r="40" spans="1:26" x14ac:dyDescent="0.3">
      <c r="A40" s="126" t="s">
        <v>107</v>
      </c>
      <c r="B40" s="126"/>
      <c r="C40" s="54">
        <f>AVERAGE(C36:C39)</f>
        <v>7.0250000000000004</v>
      </c>
      <c r="D40" s="54">
        <f>AVERAGE(D36:D39)</f>
        <v>5.35</v>
      </c>
      <c r="E40" s="54">
        <f>AVERAGE(E36:E39)</f>
        <v>4.625</v>
      </c>
      <c r="F40" s="54">
        <f>AVERAGE(F36:F39)</f>
        <v>4.3</v>
      </c>
      <c r="G40" s="54">
        <f>AVERAGE(G36:G39)</f>
        <v>4.1449999999999996</v>
      </c>
      <c r="I40" s="126" t="s">
        <v>107</v>
      </c>
      <c r="J40" s="126"/>
      <c r="K40" s="54">
        <f>AVERAGE(K36:K39)</f>
        <v>13.125</v>
      </c>
      <c r="L40" s="54">
        <f>AVERAGE(L36:L39)</f>
        <v>12.525</v>
      </c>
      <c r="M40" s="54">
        <f>AVERAGE(M36:M39)</f>
        <v>12.022499999999999</v>
      </c>
      <c r="N40" s="54">
        <f>AVERAGE(N36:N39)</f>
        <v>11.700000000000001</v>
      </c>
      <c r="O40" s="54">
        <f>AVERAGE(O36:O39)</f>
        <v>10.307499999999999</v>
      </c>
      <c r="T40" s="126" t="s">
        <v>107</v>
      </c>
      <c r="U40" s="126"/>
      <c r="V40" s="54">
        <f>AVERAGE(V36:V39)</f>
        <v>7.4249999999999998</v>
      </c>
      <c r="W40" s="54">
        <f>AVERAGE(W36:W39)</f>
        <v>9.375</v>
      </c>
      <c r="X40" s="54">
        <f>AVERAGE(X36:X39)</f>
        <v>9.1750000000000007</v>
      </c>
      <c r="Y40" s="54">
        <f>AVERAGE(Y36:Y39)</f>
        <v>7.0750000000000002</v>
      </c>
      <c r="Z40" s="54">
        <f>AVERAGE(Z36:Z39)</f>
        <v>5.2500000000000009</v>
      </c>
    </row>
    <row r="41" spans="1:26" x14ac:dyDescent="0.3">
      <c r="A41" s="126" t="s">
        <v>106</v>
      </c>
      <c r="B41" s="126"/>
      <c r="C41" s="54">
        <f>STDEV(C36:C39)</f>
        <v>0.28722813232690164</v>
      </c>
      <c r="D41" s="54">
        <f>STDEV(D36:D39)</f>
        <v>1.0472185381603372</v>
      </c>
      <c r="E41" s="54">
        <f>STDEV(E36:E39)</f>
        <v>0.52519837521962431</v>
      </c>
      <c r="F41" s="54">
        <f>STDEV(F36:F39)</f>
        <v>0.29439202887759486</v>
      </c>
      <c r="G41" s="54">
        <f>STDEV(G36:G39)</f>
        <v>0.57599189809117235</v>
      </c>
      <c r="I41" s="126" t="s">
        <v>106</v>
      </c>
      <c r="J41" s="126"/>
      <c r="K41" s="54">
        <f>STDEV(K36:K39)</f>
        <v>1.7250603854164928</v>
      </c>
      <c r="L41" s="54">
        <f>STDEV(L36:L39)</f>
        <v>1.7895530168173241</v>
      </c>
      <c r="M41" s="54">
        <f>STDEV(M36:M39)</f>
        <v>0.84191745438611743</v>
      </c>
      <c r="N41" s="54">
        <f>STDEV(N36:N39)</f>
        <v>0.98319208025017468</v>
      </c>
      <c r="O41" s="54">
        <f>STDEV(O36:O39)</f>
        <v>1.4397540299185454</v>
      </c>
      <c r="T41" s="126" t="s">
        <v>106</v>
      </c>
      <c r="U41" s="126"/>
      <c r="V41" s="54">
        <f>STDEV(V36:V39)</f>
        <v>0.41932485418030419</v>
      </c>
      <c r="W41" s="54">
        <f>STDEV(W36:W39)</f>
        <v>0.79320026895271978</v>
      </c>
      <c r="X41" s="54">
        <f>STDEV(X36:X39)</f>
        <v>0.3499999999999997</v>
      </c>
      <c r="Y41" s="54">
        <f>STDEV(Y36:Y39)</f>
        <v>4.1804106656324249</v>
      </c>
      <c r="Z41" s="54">
        <f>STDEV(Z36:Z39)</f>
        <v>0.64549722436789181</v>
      </c>
    </row>
    <row r="42" spans="1:26" ht="17.100000000000001" customHeight="1" x14ac:dyDescent="0.3">
      <c r="A42" s="126" t="s">
        <v>105</v>
      </c>
      <c r="B42" s="126"/>
      <c r="C42" s="53">
        <f>C40/$C40</f>
        <v>1</v>
      </c>
      <c r="D42" s="53">
        <f>D40/$C40</f>
        <v>0.76156583629893226</v>
      </c>
      <c r="E42" s="53">
        <f>E40/$C40</f>
        <v>0.65836298932384341</v>
      </c>
      <c r="F42" s="53">
        <f>F40/$C40</f>
        <v>0.6120996441281138</v>
      </c>
      <c r="G42" s="53">
        <f>G40/$C40</f>
        <v>0.59003558718861204</v>
      </c>
      <c r="I42" s="126" t="s">
        <v>105</v>
      </c>
      <c r="J42" s="126"/>
      <c r="K42" s="53">
        <f>K40/$K40</f>
        <v>1</v>
      </c>
      <c r="L42" s="53">
        <f>L40/$K40</f>
        <v>0.95428571428571429</v>
      </c>
      <c r="M42" s="53">
        <f>M40/$K40</f>
        <v>0.91599999999999993</v>
      </c>
      <c r="N42" s="53">
        <f>N40/$K40</f>
        <v>0.89142857142857146</v>
      </c>
      <c r="O42" s="53">
        <f>O40/$K40</f>
        <v>0.78533333333333333</v>
      </c>
      <c r="T42" s="126" t="s">
        <v>105</v>
      </c>
      <c r="U42" s="126"/>
      <c r="V42" s="53">
        <f>V40/$V40</f>
        <v>1</v>
      </c>
      <c r="W42" s="53">
        <f>W40/$V40</f>
        <v>1.2626262626262628</v>
      </c>
      <c r="X42" s="53">
        <f>X40/$V40</f>
        <v>1.2356902356902357</v>
      </c>
      <c r="Y42" s="53">
        <f>Y40/$V40</f>
        <v>0.95286195286195285</v>
      </c>
      <c r="Z42" s="53">
        <f>Z40/$V40</f>
        <v>0.70707070707070718</v>
      </c>
    </row>
    <row r="43" spans="1:26" ht="17.100000000000001" customHeight="1" x14ac:dyDescent="0.3">
      <c r="A43" s="126" t="s">
        <v>104</v>
      </c>
      <c r="B43" s="126"/>
      <c r="C43" s="53">
        <f>($C41+C41)/($C40+C40)</f>
        <v>4.088656687927425E-2</v>
      </c>
      <c r="D43" s="53">
        <f>($C41+D41)/($C40+D40)</f>
        <v>0.10783407438280718</v>
      </c>
      <c r="E43" s="53">
        <f>($C41+E41)/($C40+E40)</f>
        <v>6.9736180905281206E-2</v>
      </c>
      <c r="F43" s="53">
        <f>($C41+F41)/($C40+F40)</f>
        <v>5.1357188627328611E-2</v>
      </c>
      <c r="G43" s="53">
        <f>($C41+G41)/($C40+G40)</f>
        <v>7.7280217584429184E-2</v>
      </c>
      <c r="I43" s="126" t="s">
        <v>104</v>
      </c>
      <c r="J43" s="126"/>
      <c r="K43" s="53">
        <f>($K41+K41)/($K40+K40)</f>
        <v>0.13143317222220896</v>
      </c>
      <c r="L43" s="53">
        <f>($K41+L41)/($K40+L40)</f>
        <v>0.13702196499936908</v>
      </c>
      <c r="M43" s="53">
        <f>($K41+M41)/($K40+M40)</f>
        <v>0.10207686011741167</v>
      </c>
      <c r="N43" s="53">
        <f>($K41+N41)/($K40+N40)</f>
        <v>0.10909375491104399</v>
      </c>
      <c r="O43" s="53">
        <f>($K41+O41)/($K40+O40)</f>
        <v>0.1350608947118335</v>
      </c>
      <c r="T43" s="126" t="s">
        <v>104</v>
      </c>
      <c r="U43" s="126"/>
      <c r="V43" s="53">
        <f>($V41+V41)/($V40+V40)</f>
        <v>5.6474727835731202E-2</v>
      </c>
      <c r="W43" s="53">
        <f>($V41+W41)/($V40+W40)</f>
        <v>7.2174114472203815E-2</v>
      </c>
      <c r="X43" s="53">
        <f>($V41+X41)/($V40+X40)</f>
        <v>4.6344870733753249E-2</v>
      </c>
      <c r="Y43" s="53">
        <f>($V41+Y41)/($V40+Y40)</f>
        <v>0.31722313929742957</v>
      </c>
      <c r="Z43" s="53">
        <f>($V41+Z41)/($V40+Z40)</f>
        <v>8.4009631443644636E-2</v>
      </c>
    </row>
    <row r="46" spans="1:26" x14ac:dyDescent="0.3">
      <c r="A46" s="62"/>
      <c r="B46" s="62"/>
      <c r="C46" s="65" t="s">
        <v>122</v>
      </c>
      <c r="D46" s="64" t="s">
        <v>124</v>
      </c>
      <c r="E46" s="62" t="s">
        <v>123</v>
      </c>
      <c r="F46" s="62"/>
      <c r="G46" s="62"/>
      <c r="I46" s="62"/>
      <c r="J46" s="62"/>
      <c r="K46" s="65" t="s">
        <v>122</v>
      </c>
      <c r="L46" s="64" t="s">
        <v>121</v>
      </c>
      <c r="M46" s="62" t="s">
        <v>120</v>
      </c>
      <c r="N46" s="62"/>
      <c r="O46" s="62"/>
      <c r="Q46" s="50" t="s">
        <v>119</v>
      </c>
      <c r="R46" s="63">
        <v>0</v>
      </c>
    </row>
    <row r="47" spans="1:26" x14ac:dyDescent="0.3">
      <c r="A47" s="62"/>
      <c r="B47" s="62"/>
      <c r="C47" s="62"/>
      <c r="D47" s="62"/>
      <c r="E47" s="62"/>
      <c r="F47" s="62"/>
      <c r="G47" s="62"/>
      <c r="I47" s="62"/>
      <c r="J47" s="62"/>
      <c r="K47" s="62"/>
      <c r="L47" s="62"/>
      <c r="M47" s="62"/>
      <c r="N47" s="62"/>
      <c r="O47" s="62"/>
    </row>
    <row r="48" spans="1:26" x14ac:dyDescent="0.3">
      <c r="A48" s="62"/>
      <c r="B48" s="62"/>
      <c r="C48" s="61" t="s">
        <v>118</v>
      </c>
      <c r="D48" s="60" t="s">
        <v>117</v>
      </c>
      <c r="E48" s="60" t="s">
        <v>116</v>
      </c>
      <c r="F48" s="60" t="s">
        <v>115</v>
      </c>
      <c r="G48" s="60" t="s">
        <v>114</v>
      </c>
      <c r="I48" s="62"/>
      <c r="J48" s="62"/>
      <c r="K48" s="61" t="s">
        <v>118</v>
      </c>
      <c r="L48" s="60" t="s">
        <v>117</v>
      </c>
      <c r="M48" s="60" t="s">
        <v>116</v>
      </c>
      <c r="N48" s="60" t="s">
        <v>115</v>
      </c>
      <c r="O48" s="60" t="s">
        <v>114</v>
      </c>
    </row>
    <row r="49" spans="1:22" ht="15.9" customHeight="1" x14ac:dyDescent="0.3">
      <c r="A49" s="126" t="s">
        <v>113</v>
      </c>
      <c r="B49" s="126"/>
      <c r="C49" s="59">
        <f>10/60/24</f>
        <v>6.9444444444444441E-3</v>
      </c>
      <c r="D49" s="59">
        <v>1</v>
      </c>
      <c r="E49" s="59">
        <v>3</v>
      </c>
      <c r="F49" s="59">
        <f>7</f>
        <v>7</v>
      </c>
      <c r="G49" s="59">
        <f>14</f>
        <v>14</v>
      </c>
      <c r="I49" s="126" t="s">
        <v>113</v>
      </c>
      <c r="J49" s="126"/>
      <c r="K49" s="59">
        <f>10/60/24</f>
        <v>6.9444444444444441E-3</v>
      </c>
      <c r="L49" s="59">
        <v>1</v>
      </c>
      <c r="M49" s="59">
        <v>3</v>
      </c>
      <c r="N49" s="59">
        <f>7</f>
        <v>7</v>
      </c>
      <c r="O49" s="59">
        <f>14</f>
        <v>14</v>
      </c>
    </row>
    <row r="50" spans="1:22" x14ac:dyDescent="0.3">
      <c r="A50" s="127" t="s">
        <v>112</v>
      </c>
      <c r="B50" s="58" t="s">
        <v>111</v>
      </c>
      <c r="C50" s="55">
        <v>6.9</v>
      </c>
      <c r="D50" s="55">
        <v>6.03</v>
      </c>
      <c r="E50" s="55">
        <v>4.1500000000000004</v>
      </c>
      <c r="F50" s="55">
        <v>3.56</v>
      </c>
      <c r="G50" s="55">
        <v>2.23</v>
      </c>
      <c r="I50" s="127" t="s">
        <v>112</v>
      </c>
      <c r="J50" s="58" t="s">
        <v>111</v>
      </c>
      <c r="K50" s="55">
        <v>8.3000000000000007</v>
      </c>
      <c r="L50" s="55">
        <v>7.6</v>
      </c>
      <c r="M50" s="55">
        <v>7.63</v>
      </c>
      <c r="N50" s="55">
        <v>6.58</v>
      </c>
      <c r="O50" s="55">
        <v>5.65</v>
      </c>
    </row>
    <row r="51" spans="1:22" x14ac:dyDescent="0.3">
      <c r="A51" s="128"/>
      <c r="B51" s="56" t="s">
        <v>110</v>
      </c>
      <c r="C51" s="55">
        <v>6.2</v>
      </c>
      <c r="D51" s="55">
        <v>4.87</v>
      </c>
      <c r="E51" s="55">
        <v>3.94</v>
      </c>
      <c r="F51" s="55">
        <v>2.68</v>
      </c>
      <c r="G51" s="55">
        <v>2.56</v>
      </c>
      <c r="I51" s="128"/>
      <c r="J51" s="56" t="s">
        <v>110</v>
      </c>
      <c r="K51" s="55">
        <v>7.4</v>
      </c>
      <c r="L51" s="55">
        <v>6.6</v>
      </c>
      <c r="M51" s="55">
        <v>6.25</v>
      </c>
      <c r="N51" s="55">
        <v>5.68</v>
      </c>
      <c r="O51" s="55">
        <v>6.25</v>
      </c>
    </row>
    <row r="52" spans="1:22" x14ac:dyDescent="0.3">
      <c r="A52" s="128"/>
      <c r="B52" s="56" t="s">
        <v>109</v>
      </c>
      <c r="C52" s="55">
        <v>8.1</v>
      </c>
      <c r="D52" s="55">
        <v>5.56</v>
      </c>
      <c r="E52" s="55">
        <v>3.23</v>
      </c>
      <c r="F52" s="55">
        <v>3.69</v>
      </c>
      <c r="G52" s="55">
        <v>2.63</v>
      </c>
      <c r="I52" s="128"/>
      <c r="J52" s="56" t="s">
        <v>109</v>
      </c>
      <c r="K52" s="55">
        <v>7.5</v>
      </c>
      <c r="L52" s="55">
        <v>7.53</v>
      </c>
      <c r="M52" s="55">
        <v>5.64</v>
      </c>
      <c r="N52" s="55">
        <v>6.59</v>
      </c>
      <c r="O52" s="55">
        <v>3.68</v>
      </c>
    </row>
    <row r="53" spans="1:22" x14ac:dyDescent="0.3">
      <c r="A53" s="129"/>
      <c r="B53" s="56" t="s">
        <v>108</v>
      </c>
      <c r="C53" s="57">
        <v>7.91</v>
      </c>
      <c r="D53" s="57">
        <v>6.13</v>
      </c>
      <c r="E53" s="57">
        <v>4.25</v>
      </c>
      <c r="F53" s="57">
        <v>2.89</v>
      </c>
      <c r="G53" s="57">
        <v>1.36</v>
      </c>
      <c r="I53" s="129"/>
      <c r="J53" s="56" t="s">
        <v>108</v>
      </c>
      <c r="K53" s="55">
        <v>7.9</v>
      </c>
      <c r="L53" s="55">
        <v>6.95</v>
      </c>
      <c r="M53" s="55">
        <v>5.29</v>
      </c>
      <c r="N53" s="55">
        <v>5.31</v>
      </c>
      <c r="O53" s="55">
        <v>4.9800000000000004</v>
      </c>
    </row>
    <row r="54" spans="1:22" x14ac:dyDescent="0.3">
      <c r="A54" s="126" t="s">
        <v>107</v>
      </c>
      <c r="B54" s="126"/>
      <c r="C54" s="55">
        <f>AVERAGE(C50:C53)</f>
        <v>7.2775000000000007</v>
      </c>
      <c r="D54" s="55">
        <f>AVERAGE(D50:D53)</f>
        <v>5.6475</v>
      </c>
      <c r="E54" s="55">
        <f>AVERAGE(E50:E53)</f>
        <v>3.8925000000000001</v>
      </c>
      <c r="F54" s="55">
        <f>AVERAGE(F50:F53)</f>
        <v>3.2050000000000001</v>
      </c>
      <c r="G54" s="55">
        <f>AVERAGE(G50:G53)</f>
        <v>2.1949999999999998</v>
      </c>
      <c r="I54" s="126" t="s">
        <v>107</v>
      </c>
      <c r="J54" s="126"/>
      <c r="K54" s="55">
        <f>AVERAGE(K50:K53)</f>
        <v>7.7750000000000004</v>
      </c>
      <c r="L54" s="55">
        <f>AVERAGE(L50:L53)</f>
        <v>7.17</v>
      </c>
      <c r="M54" s="55">
        <f>AVERAGE(M50:M53)</f>
        <v>6.2024999999999997</v>
      </c>
      <c r="N54" s="55">
        <f>AVERAGE(N50:N53)</f>
        <v>6.04</v>
      </c>
      <c r="O54" s="55">
        <f>AVERAGE(O50:O53)</f>
        <v>5.1400000000000006</v>
      </c>
    </row>
    <row r="55" spans="1:22" x14ac:dyDescent="0.3">
      <c r="A55" s="126" t="s">
        <v>106</v>
      </c>
      <c r="B55" s="126"/>
      <c r="C55" s="54">
        <f>STDEV(C50:C52)</f>
        <v>0.96090235369330423</v>
      </c>
      <c r="D55" s="54">
        <f>STDEV(D50:D52)</f>
        <v>0.58346665143205345</v>
      </c>
      <c r="E55" s="54">
        <f>STDEV(E50:E52)</f>
        <v>0.48211340298039096</v>
      </c>
      <c r="F55" s="54">
        <f>STDEV(F50:F52)</f>
        <v>0.54945427471264596</v>
      </c>
      <c r="G55" s="54">
        <f>STDEV(G50:G52)</f>
        <v>0.21361959960016152</v>
      </c>
      <c r="I55" s="126" t="s">
        <v>106</v>
      </c>
      <c r="J55" s="126"/>
      <c r="K55" s="54">
        <f>STDEV(K50:K53)</f>
        <v>0.41129875597510246</v>
      </c>
      <c r="L55" s="54">
        <f>STDEV(L50:L53)</f>
        <v>0.47881798908005402</v>
      </c>
      <c r="M55" s="54">
        <f>STDEV(M50:M53)</f>
        <v>1.0310310373601808</v>
      </c>
      <c r="N55" s="54">
        <f>STDEV(N50:N53)</f>
        <v>0.64719909353047378</v>
      </c>
      <c r="O55" s="54">
        <f>STDEV(O50:O53)</f>
        <v>1.1029354771094533</v>
      </c>
    </row>
    <row r="56" spans="1:22" ht="17.100000000000001" customHeight="1" x14ac:dyDescent="0.3">
      <c r="A56" s="126" t="s">
        <v>105</v>
      </c>
      <c r="B56" s="126"/>
      <c r="C56" s="53">
        <f>C54/$C54</f>
        <v>1</v>
      </c>
      <c r="D56" s="53">
        <f>D54/$C54</f>
        <v>0.77602198557196833</v>
      </c>
      <c r="E56" s="53">
        <f>E54/$C54</f>
        <v>0.53486774304362761</v>
      </c>
      <c r="F56" s="53">
        <f>F54/$C54</f>
        <v>0.44039848849192714</v>
      </c>
      <c r="G56" s="53">
        <f>G54/$C54</f>
        <v>0.30161456544142901</v>
      </c>
      <c r="I56" s="126" t="s">
        <v>105</v>
      </c>
      <c r="J56" s="126"/>
      <c r="K56" s="53">
        <f>K54/$K54</f>
        <v>1</v>
      </c>
      <c r="L56" s="53">
        <f>L54/$K54</f>
        <v>0.92218649517684881</v>
      </c>
      <c r="M56" s="53">
        <f>M54/$K54</f>
        <v>0.79774919614147899</v>
      </c>
      <c r="N56" s="53">
        <f>N54/$K54</f>
        <v>0.77684887459807073</v>
      </c>
      <c r="O56" s="53">
        <f>O54/$K54</f>
        <v>0.66109324758842447</v>
      </c>
      <c r="R56" s="51"/>
      <c r="S56" s="51"/>
      <c r="T56" s="51"/>
      <c r="U56" s="51"/>
      <c r="V56" s="51"/>
    </row>
    <row r="57" spans="1:22" ht="17.100000000000001" customHeight="1" x14ac:dyDescent="0.3">
      <c r="A57" s="126" t="s">
        <v>104</v>
      </c>
      <c r="B57" s="126"/>
      <c r="C57" s="53">
        <f>($C55+C55)/($C54+C54)</f>
        <v>0.13203742407328123</v>
      </c>
      <c r="D57" s="53">
        <f>($C55+D55)/($C54+D54)</f>
        <v>0.11948696364606247</v>
      </c>
      <c r="E57" s="53">
        <f>($C55+E55)/($C54+E54)</f>
        <v>0.12918672843990106</v>
      </c>
      <c r="F57" s="53">
        <f>($C55+F55)/($C54+F54)</f>
        <v>0.14408362779927975</v>
      </c>
      <c r="G57" s="53">
        <f>($C55+G55)/($C54+G54)</f>
        <v>0.12399281639413733</v>
      </c>
      <c r="I57" s="126" t="s">
        <v>104</v>
      </c>
      <c r="J57" s="126"/>
      <c r="K57" s="53">
        <f>($K55+K55)/($K54+K54)</f>
        <v>5.2900161540206103E-2</v>
      </c>
      <c r="L57" s="53">
        <f>($K55+L55)/($K54+L54)</f>
        <v>5.9559501174650815E-2</v>
      </c>
      <c r="M57" s="53">
        <f>($K55+M55)/($K54+M54)</f>
        <v>0.10318939676875574</v>
      </c>
      <c r="N57" s="53">
        <f>($K55+N55)/($K54+N54)</f>
        <v>7.661946069530047E-2</v>
      </c>
      <c r="O57" s="53">
        <f>($K55+O55)/($K54+O54)</f>
        <v>0.11724616593763497</v>
      </c>
      <c r="R57" s="51"/>
      <c r="S57" s="51"/>
      <c r="T57" s="51"/>
      <c r="U57" s="51"/>
      <c r="V57" s="51"/>
    </row>
    <row r="58" spans="1:22" x14ac:dyDescent="0.3">
      <c r="R58" s="51"/>
      <c r="S58" s="51"/>
      <c r="T58" s="51"/>
      <c r="U58" s="51"/>
      <c r="V58" s="51"/>
    </row>
    <row r="59" spans="1:22" x14ac:dyDescent="0.3">
      <c r="R59" s="51"/>
      <c r="S59" s="51"/>
      <c r="T59" s="51"/>
      <c r="U59" s="52"/>
      <c r="V59" s="51"/>
    </row>
    <row r="65" spans="18:22" x14ac:dyDescent="0.3">
      <c r="R65" s="51"/>
      <c r="S65" s="51"/>
      <c r="T65" s="51"/>
      <c r="U65" s="51"/>
      <c r="V65" s="51"/>
    </row>
    <row r="66" spans="18:22" x14ac:dyDescent="0.3">
      <c r="R66" s="51"/>
      <c r="S66" s="51"/>
      <c r="T66" s="51"/>
      <c r="U66" s="51"/>
      <c r="V66" s="51"/>
    </row>
    <row r="67" spans="18:22" x14ac:dyDescent="0.3">
      <c r="R67" s="51"/>
      <c r="S67" s="51"/>
      <c r="T67" s="51"/>
      <c r="U67" s="51"/>
      <c r="V67" s="51"/>
    </row>
    <row r="68" spans="18:22" x14ac:dyDescent="0.3">
      <c r="R68" s="51"/>
      <c r="S68" s="51"/>
      <c r="T68" s="51"/>
      <c r="U68" s="51"/>
      <c r="V68" s="51"/>
    </row>
  </sheetData>
  <mergeCells count="54">
    <mergeCell ref="A56:B56"/>
    <mergeCell ref="I56:J56"/>
    <mergeCell ref="A57:B57"/>
    <mergeCell ref="I57:J57"/>
    <mergeCell ref="T42:U42"/>
    <mergeCell ref="T43:U43"/>
    <mergeCell ref="A55:B55"/>
    <mergeCell ref="I55:J55"/>
    <mergeCell ref="A42:B42"/>
    <mergeCell ref="I42:J42"/>
    <mergeCell ref="A7:B7"/>
    <mergeCell ref="A21:B21"/>
    <mergeCell ref="I7:J7"/>
    <mergeCell ref="I21:J21"/>
    <mergeCell ref="A35:B35"/>
    <mergeCell ref="I35:J35"/>
    <mergeCell ref="A26:B26"/>
    <mergeCell ref="I26:J26"/>
    <mergeCell ref="T36:T39"/>
    <mergeCell ref="T40:U40"/>
    <mergeCell ref="T41:U41"/>
    <mergeCell ref="T35:U35"/>
    <mergeCell ref="A54:B54"/>
    <mergeCell ref="I54:J54"/>
    <mergeCell ref="A50:A53"/>
    <mergeCell ref="I50:I53"/>
    <mergeCell ref="A49:B49"/>
    <mergeCell ref="I49:J49"/>
    <mergeCell ref="A43:B43"/>
    <mergeCell ref="I43:J43"/>
    <mergeCell ref="A36:A39"/>
    <mergeCell ref="I36:I39"/>
    <mergeCell ref="A27:B27"/>
    <mergeCell ref="I27:J27"/>
    <mergeCell ref="A29:B29"/>
    <mergeCell ref="I29:J29"/>
    <mergeCell ref="A40:B40"/>
    <mergeCell ref="I40:J40"/>
    <mergeCell ref="A41:B41"/>
    <mergeCell ref="I41:J41"/>
    <mergeCell ref="A28:B28"/>
    <mergeCell ref="I28:J28"/>
    <mergeCell ref="A8:A11"/>
    <mergeCell ref="I8:I11"/>
    <mergeCell ref="A22:A25"/>
    <mergeCell ref="I22:I25"/>
    <mergeCell ref="A12:B12"/>
    <mergeCell ref="A13:B13"/>
    <mergeCell ref="I12:J12"/>
    <mergeCell ref="I13:J13"/>
    <mergeCell ref="A14:B14"/>
    <mergeCell ref="I14:J14"/>
    <mergeCell ref="A15:B15"/>
    <mergeCell ref="I15:J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93F9-8E9A-48DB-8695-85F5F8476760}">
  <dimension ref="A2:S85"/>
  <sheetViews>
    <sheetView tabSelected="1" zoomScale="115" zoomScaleNormal="115" workbookViewId="0">
      <selection activeCell="N58" sqref="N58"/>
    </sheetView>
  </sheetViews>
  <sheetFormatPr defaultColWidth="12.21875" defaultRowHeight="15.6" x14ac:dyDescent="0.3"/>
  <cols>
    <col min="1" max="1" width="3.21875" style="50" bestFit="1" customWidth="1"/>
    <col min="2" max="2" width="14.88671875" style="50" customWidth="1"/>
    <col min="3" max="8" width="12.21875" style="50"/>
    <col min="9" max="9" width="3.21875" style="50" bestFit="1" customWidth="1"/>
    <col min="10" max="10" width="14.88671875" style="50" customWidth="1"/>
    <col min="11" max="16384" width="12.21875" style="50"/>
  </cols>
  <sheetData>
    <row r="2" spans="1:19" x14ac:dyDescent="0.3">
      <c r="C2" s="50" t="s">
        <v>138</v>
      </c>
      <c r="D2" s="63">
        <v>0.02</v>
      </c>
      <c r="K2" s="50" t="s">
        <v>138</v>
      </c>
      <c r="L2" s="63">
        <v>0.03</v>
      </c>
    </row>
    <row r="4" spans="1:19" x14ac:dyDescent="0.3">
      <c r="C4" s="70" t="s">
        <v>122</v>
      </c>
      <c r="D4" s="69" t="s">
        <v>137</v>
      </c>
      <c r="E4" s="50" t="s">
        <v>139</v>
      </c>
      <c r="K4" s="70" t="s">
        <v>122</v>
      </c>
      <c r="L4" s="69" t="s">
        <v>135</v>
      </c>
      <c r="M4" s="50" t="s">
        <v>140</v>
      </c>
      <c r="Q4" s="50" t="s">
        <v>119</v>
      </c>
      <c r="R4" s="63">
        <v>1.4999999999999999E-2</v>
      </c>
    </row>
    <row r="6" spans="1:19" x14ac:dyDescent="0.3">
      <c r="C6" s="68" t="s">
        <v>141</v>
      </c>
      <c r="D6" s="68" t="s">
        <v>142</v>
      </c>
      <c r="E6" s="68" t="s">
        <v>143</v>
      </c>
      <c r="F6" s="68" t="s">
        <v>144</v>
      </c>
      <c r="G6" s="68" t="s">
        <v>145</v>
      </c>
      <c r="K6" s="68" t="s">
        <v>141</v>
      </c>
      <c r="L6" s="68" t="s">
        <v>142</v>
      </c>
      <c r="M6" s="68" t="s">
        <v>143</v>
      </c>
      <c r="N6" s="68" t="s">
        <v>144</v>
      </c>
      <c r="O6" s="68" t="s">
        <v>145</v>
      </c>
    </row>
    <row r="7" spans="1:19" x14ac:dyDescent="0.3">
      <c r="A7" s="126" t="s">
        <v>113</v>
      </c>
      <c r="B7" s="126"/>
      <c r="C7" s="59">
        <f>10/60/24</f>
        <v>6.9444444444444441E-3</v>
      </c>
      <c r="D7" s="59">
        <v>1</v>
      </c>
      <c r="E7" s="59">
        <v>3</v>
      </c>
      <c r="F7" s="59">
        <f>7</f>
        <v>7</v>
      </c>
      <c r="G7" s="59">
        <f>14</f>
        <v>14</v>
      </c>
      <c r="I7" s="126" t="s">
        <v>113</v>
      </c>
      <c r="J7" s="126"/>
      <c r="K7" s="59">
        <f>10/60/24</f>
        <v>6.9444444444444441E-3</v>
      </c>
      <c r="L7" s="59">
        <v>1</v>
      </c>
      <c r="M7" s="59">
        <v>3</v>
      </c>
      <c r="N7" s="59">
        <f>7</f>
        <v>7</v>
      </c>
      <c r="O7" s="59">
        <f>14</f>
        <v>14</v>
      </c>
    </row>
    <row r="8" spans="1:19" x14ac:dyDescent="0.3">
      <c r="A8" s="130" t="s">
        <v>111</v>
      </c>
      <c r="B8" s="71" t="s">
        <v>146</v>
      </c>
      <c r="C8" s="72">
        <v>128.19999999999999</v>
      </c>
      <c r="D8" s="72">
        <v>144</v>
      </c>
      <c r="E8" s="72">
        <v>209.8</v>
      </c>
      <c r="F8" s="72">
        <v>191.6</v>
      </c>
      <c r="G8" s="72">
        <v>243</v>
      </c>
      <c r="I8" s="130" t="s">
        <v>111</v>
      </c>
      <c r="J8" s="71" t="s">
        <v>146</v>
      </c>
      <c r="K8" s="72">
        <v>177</v>
      </c>
      <c r="L8" s="72">
        <v>230.4</v>
      </c>
      <c r="M8" s="72">
        <v>213.1</v>
      </c>
      <c r="N8" s="72">
        <v>264.2</v>
      </c>
      <c r="O8" s="72">
        <v>284.7</v>
      </c>
      <c r="R8" s="73"/>
      <c r="S8" s="73"/>
    </row>
    <row r="9" spans="1:19" ht="15.9" customHeight="1" x14ac:dyDescent="0.3">
      <c r="A9" s="131"/>
      <c r="B9" s="74" t="s">
        <v>147</v>
      </c>
      <c r="C9" s="75"/>
      <c r="D9" s="76">
        <v>150.69999999999999</v>
      </c>
      <c r="E9" s="76">
        <v>244.9</v>
      </c>
      <c r="F9" s="76">
        <v>203.3</v>
      </c>
      <c r="G9" s="76">
        <v>271.35000000000002</v>
      </c>
      <c r="I9" s="131"/>
      <c r="J9" s="74" t="s">
        <v>147</v>
      </c>
      <c r="K9" s="75"/>
      <c r="L9" s="76">
        <v>289.2</v>
      </c>
      <c r="M9" s="76">
        <v>260.89999999999998</v>
      </c>
      <c r="N9" s="76">
        <v>274.2</v>
      </c>
      <c r="O9" s="76">
        <v>285.7</v>
      </c>
      <c r="R9" s="73"/>
      <c r="S9" s="73"/>
    </row>
    <row r="10" spans="1:19" x14ac:dyDescent="0.3">
      <c r="A10" s="132"/>
      <c r="B10" s="77" t="s">
        <v>148</v>
      </c>
      <c r="C10" s="78">
        <f>(C8-C8)/C8</f>
        <v>0</v>
      </c>
      <c r="D10" s="78">
        <f>(D9-D8)/D8</f>
        <v>4.6527777777777696E-2</v>
      </c>
      <c r="E10" s="78">
        <f t="shared" ref="E10:G10" si="0">(E9-E8)/E8</f>
        <v>0.16730219256434697</v>
      </c>
      <c r="F10" s="78">
        <f t="shared" si="0"/>
        <v>6.1064718162839336E-2</v>
      </c>
      <c r="G10" s="78">
        <f t="shared" si="0"/>
        <v>0.11666666666666677</v>
      </c>
      <c r="I10" s="132"/>
      <c r="J10" s="77" t="s">
        <v>148</v>
      </c>
      <c r="K10" s="78">
        <f>(K8-K8)/K8</f>
        <v>0</v>
      </c>
      <c r="L10" s="78">
        <f>(L9-L8)/L8</f>
        <v>0.25520833333333326</v>
      </c>
      <c r="M10" s="78">
        <f t="shared" ref="M10:O10" si="1">(M9-M8)/M8</f>
        <v>0.2243078366963866</v>
      </c>
      <c r="N10" s="78">
        <f t="shared" si="1"/>
        <v>3.7850113550340653E-2</v>
      </c>
      <c r="O10" s="78">
        <f t="shared" si="1"/>
        <v>3.5124692658939235E-3</v>
      </c>
      <c r="R10" s="79"/>
      <c r="S10" s="79"/>
    </row>
    <row r="11" spans="1:19" x14ac:dyDescent="0.3">
      <c r="A11" s="130" t="s">
        <v>110</v>
      </c>
      <c r="B11" s="71" t="s">
        <v>146</v>
      </c>
      <c r="C11" s="72">
        <v>157.80000000000001</v>
      </c>
      <c r="D11" s="72">
        <v>206.6</v>
      </c>
      <c r="E11" s="72">
        <v>183.5</v>
      </c>
      <c r="F11" s="72">
        <v>129.69999999999999</v>
      </c>
      <c r="G11" s="72">
        <v>261.2</v>
      </c>
      <c r="I11" s="130" t="s">
        <v>110</v>
      </c>
      <c r="J11" s="71" t="s">
        <v>146</v>
      </c>
      <c r="K11" s="72">
        <v>188.8</v>
      </c>
      <c r="L11" s="72">
        <v>214.8</v>
      </c>
      <c r="M11" s="72">
        <v>219.5</v>
      </c>
      <c r="N11" s="72">
        <v>253.3</v>
      </c>
      <c r="O11" s="72">
        <v>249.5</v>
      </c>
      <c r="R11" s="73"/>
      <c r="S11" s="73"/>
    </row>
    <row r="12" spans="1:19" x14ac:dyDescent="0.3">
      <c r="A12" s="131"/>
      <c r="B12" s="74" t="s">
        <v>147</v>
      </c>
      <c r="C12" s="75"/>
      <c r="D12" s="76">
        <v>259.89999999999998</v>
      </c>
      <c r="E12" s="76">
        <v>213.9</v>
      </c>
      <c r="F12" s="76">
        <v>146.9</v>
      </c>
      <c r="G12" s="76">
        <v>289.06</v>
      </c>
      <c r="I12" s="131"/>
      <c r="J12" s="74" t="s">
        <v>147</v>
      </c>
      <c r="K12" s="75"/>
      <c r="L12" s="76">
        <v>244.5</v>
      </c>
      <c r="M12" s="76">
        <v>268.5</v>
      </c>
      <c r="N12" s="76">
        <v>286.3</v>
      </c>
      <c r="O12" s="76">
        <v>302.39999999999998</v>
      </c>
      <c r="R12" s="73"/>
      <c r="S12" s="73"/>
    </row>
    <row r="13" spans="1:19" x14ac:dyDescent="0.3">
      <c r="A13" s="132"/>
      <c r="B13" s="77" t="s">
        <v>148</v>
      </c>
      <c r="C13" s="78">
        <f>(C11-C11)/C11</f>
        <v>0</v>
      </c>
      <c r="D13" s="78">
        <f>(D12-D11)/D11</f>
        <v>0.25798644724104541</v>
      </c>
      <c r="E13" s="78">
        <f t="shared" ref="E13:G13" si="2">(E12-E11)/E11</f>
        <v>0.16566757493188014</v>
      </c>
      <c r="F13" s="78">
        <f t="shared" si="2"/>
        <v>0.13261372397841187</v>
      </c>
      <c r="G13" s="78">
        <f t="shared" si="2"/>
        <v>0.10666156202143956</v>
      </c>
      <c r="I13" s="132"/>
      <c r="J13" s="77" t="s">
        <v>148</v>
      </c>
      <c r="K13" s="78">
        <f>(K11-K11)/K11</f>
        <v>0</v>
      </c>
      <c r="L13" s="78">
        <f>(L12-L11)/L11</f>
        <v>0.13826815642458096</v>
      </c>
      <c r="M13" s="78">
        <f t="shared" ref="M13:O13" si="3">(M12-M11)/M11</f>
        <v>0.22323462414578588</v>
      </c>
      <c r="N13" s="78">
        <f t="shared" si="3"/>
        <v>0.13028030003947888</v>
      </c>
      <c r="O13" s="78">
        <f t="shared" si="3"/>
        <v>0.2120240480961923</v>
      </c>
      <c r="R13" s="79"/>
      <c r="S13" s="79"/>
    </row>
    <row r="14" spans="1:19" x14ac:dyDescent="0.3">
      <c r="A14" s="130" t="s">
        <v>109</v>
      </c>
      <c r="B14" s="71" t="s">
        <v>146</v>
      </c>
      <c r="C14" s="72">
        <v>185.9</v>
      </c>
      <c r="D14" s="72">
        <v>171.5</v>
      </c>
      <c r="E14" s="72">
        <v>228.8</v>
      </c>
      <c r="F14" s="72">
        <v>191.7</v>
      </c>
      <c r="G14" s="72">
        <v>205.8</v>
      </c>
      <c r="I14" s="130" t="s">
        <v>109</v>
      </c>
      <c r="J14" s="71" t="s">
        <v>146</v>
      </c>
      <c r="K14" s="72">
        <v>200.3</v>
      </c>
      <c r="L14" s="72">
        <v>197.7</v>
      </c>
      <c r="M14" s="72">
        <v>186.8</v>
      </c>
      <c r="N14" s="72">
        <v>183.7</v>
      </c>
      <c r="O14" s="72">
        <v>242.4</v>
      </c>
      <c r="R14" s="73"/>
      <c r="S14" s="73"/>
    </row>
    <row r="15" spans="1:19" x14ac:dyDescent="0.3">
      <c r="A15" s="131"/>
      <c r="B15" s="74" t="s">
        <v>147</v>
      </c>
      <c r="C15" s="75"/>
      <c r="D15" s="76">
        <v>213.6</v>
      </c>
      <c r="E15" s="76">
        <v>250.8</v>
      </c>
      <c r="F15" s="76">
        <v>203.63</v>
      </c>
      <c r="G15" s="76">
        <v>219.1</v>
      </c>
      <c r="I15" s="131"/>
      <c r="J15" s="74" t="s">
        <v>147</v>
      </c>
      <c r="K15" s="75"/>
      <c r="L15" s="76">
        <v>249.3</v>
      </c>
      <c r="M15" s="76">
        <v>243</v>
      </c>
      <c r="N15" s="80">
        <v>283.2</v>
      </c>
      <c r="O15" s="76">
        <v>295.7</v>
      </c>
      <c r="R15" s="73"/>
      <c r="S15" s="73"/>
    </row>
    <row r="16" spans="1:19" x14ac:dyDescent="0.3">
      <c r="A16" s="132"/>
      <c r="B16" s="77" t="s">
        <v>148</v>
      </c>
      <c r="C16" s="78">
        <f>(C14-C14)/C14</f>
        <v>0</v>
      </c>
      <c r="D16" s="78">
        <f>(D15-D14)/D14</f>
        <v>0.24548104956268219</v>
      </c>
      <c r="E16" s="78">
        <f t="shared" ref="E16:G16" si="4">(E15-E14)/E14</f>
        <v>9.6153846153846145E-2</v>
      </c>
      <c r="F16" s="78">
        <f t="shared" si="4"/>
        <v>6.2232655190401706E-2</v>
      </c>
      <c r="G16" s="78">
        <f t="shared" si="4"/>
        <v>6.4625850340135974E-2</v>
      </c>
      <c r="I16" s="132"/>
      <c r="J16" s="77" t="s">
        <v>148</v>
      </c>
      <c r="K16" s="78">
        <f>(K14-K14)/K14</f>
        <v>0</v>
      </c>
      <c r="L16" s="78">
        <f>(L15-L14)/L14</f>
        <v>0.26100151745068301</v>
      </c>
      <c r="M16" s="78">
        <f t="shared" ref="M16:O16" si="5">(M15-M14)/M14</f>
        <v>0.30085653104925048</v>
      </c>
      <c r="N16" s="78">
        <f t="shared" si="5"/>
        <v>0.54164398475775721</v>
      </c>
      <c r="O16" s="78">
        <f t="shared" si="5"/>
        <v>0.21988448844884481</v>
      </c>
      <c r="R16" s="79"/>
      <c r="S16" s="79"/>
    </row>
    <row r="17" spans="1:19" x14ac:dyDescent="0.3">
      <c r="A17" s="130" t="s">
        <v>108</v>
      </c>
      <c r="B17" s="71" t="s">
        <v>146</v>
      </c>
      <c r="C17" s="72">
        <v>201.4</v>
      </c>
      <c r="D17" s="72">
        <v>234</v>
      </c>
      <c r="E17" s="72">
        <v>167.6</v>
      </c>
      <c r="F17" s="72">
        <v>210.6</v>
      </c>
      <c r="G17" s="72">
        <v>193.5</v>
      </c>
      <c r="I17" s="130" t="s">
        <v>108</v>
      </c>
      <c r="J17" s="71" t="s">
        <v>146</v>
      </c>
      <c r="K17" s="72">
        <v>193.9</v>
      </c>
      <c r="L17" s="72">
        <v>178.9</v>
      </c>
      <c r="M17" s="72">
        <v>133.5</v>
      </c>
      <c r="N17" s="72">
        <v>280</v>
      </c>
      <c r="O17" s="72">
        <v>189.3</v>
      </c>
      <c r="R17" s="73"/>
      <c r="S17" s="73"/>
    </row>
    <row r="18" spans="1:19" x14ac:dyDescent="0.3">
      <c r="A18" s="131"/>
      <c r="B18" s="74" t="s">
        <v>147</v>
      </c>
      <c r="C18" s="75"/>
      <c r="D18" s="76">
        <v>279.5</v>
      </c>
      <c r="E18" s="76">
        <v>182.46</v>
      </c>
      <c r="F18" s="76">
        <v>229.46</v>
      </c>
      <c r="G18" s="76">
        <v>223.56</v>
      </c>
      <c r="I18" s="131"/>
      <c r="J18" s="74" t="s">
        <v>147</v>
      </c>
      <c r="K18" s="75"/>
      <c r="L18" s="76">
        <v>265.10000000000002</v>
      </c>
      <c r="M18" s="76">
        <v>205.9</v>
      </c>
      <c r="N18" s="76">
        <v>288.5</v>
      </c>
      <c r="O18" s="76">
        <v>243.8</v>
      </c>
      <c r="R18" s="73"/>
      <c r="S18" s="73"/>
    </row>
    <row r="19" spans="1:19" x14ac:dyDescent="0.3">
      <c r="A19" s="132"/>
      <c r="B19" s="77" t="s">
        <v>148</v>
      </c>
      <c r="C19" s="78">
        <f>(C17-C17)/C17</f>
        <v>0</v>
      </c>
      <c r="D19" s="78">
        <f>(D18-D17)/D17</f>
        <v>0.19444444444444445</v>
      </c>
      <c r="E19" s="78">
        <f t="shared" ref="E19:G19" si="6">(E18-E17)/E17</f>
        <v>8.8663484486873598E-2</v>
      </c>
      <c r="F19" s="78">
        <f t="shared" si="6"/>
        <v>8.955365622032295E-2</v>
      </c>
      <c r="G19" s="78">
        <f t="shared" si="6"/>
        <v>0.15534883720930234</v>
      </c>
      <c r="I19" s="132"/>
      <c r="J19" s="77" t="s">
        <v>148</v>
      </c>
      <c r="K19" s="78">
        <f>(K17-K17)/K17</f>
        <v>0</v>
      </c>
      <c r="L19" s="78">
        <f>(L18-L17)/L17</f>
        <v>0.4818334264952488</v>
      </c>
      <c r="M19" s="78">
        <f t="shared" ref="M19:O19" si="7">(M18-M17)/M17</f>
        <v>0.54232209737827719</v>
      </c>
      <c r="N19" s="78">
        <f t="shared" si="7"/>
        <v>3.0357142857142857E-2</v>
      </c>
      <c r="O19" s="78">
        <f t="shared" si="7"/>
        <v>0.28790279978869515</v>
      </c>
      <c r="R19" s="79"/>
      <c r="S19" s="79"/>
    </row>
    <row r="20" spans="1:19" ht="17.100000000000001" customHeight="1" x14ac:dyDescent="0.3">
      <c r="A20" s="126" t="s">
        <v>149</v>
      </c>
      <c r="B20" s="126"/>
      <c r="C20" s="81">
        <f>AVERAGE(C10,C13,C16,C19)</f>
        <v>0</v>
      </c>
      <c r="D20" s="81">
        <f t="shared" ref="D20:G20" si="8">AVERAGE(D10,D13,D16,D19)</f>
        <v>0.18610992975648744</v>
      </c>
      <c r="E20" s="81">
        <f t="shared" si="8"/>
        <v>0.1294467745342367</v>
      </c>
      <c r="F20" s="81">
        <f t="shared" si="8"/>
        <v>8.6366188387993967E-2</v>
      </c>
      <c r="G20" s="81">
        <f t="shared" si="8"/>
        <v>0.11082572905938615</v>
      </c>
      <c r="I20" s="126" t="s">
        <v>149</v>
      </c>
      <c r="J20" s="126"/>
      <c r="K20" s="81">
        <f>AVERAGE(K10,K13,K16,K19)</f>
        <v>0</v>
      </c>
      <c r="L20" s="81">
        <f t="shared" ref="L20:O20" si="9">AVERAGE(L10,L13,L16,L19)</f>
        <v>0.2840778584259615</v>
      </c>
      <c r="M20" s="81">
        <f t="shared" si="9"/>
        <v>0.32268027231742502</v>
      </c>
      <c r="N20" s="81">
        <f t="shared" si="9"/>
        <v>0.18503288530117989</v>
      </c>
      <c r="O20" s="81">
        <f t="shared" si="9"/>
        <v>0.18083095139990654</v>
      </c>
    </row>
    <row r="21" spans="1:19" ht="17.100000000000001" customHeight="1" x14ac:dyDescent="0.3">
      <c r="A21" s="126" t="s">
        <v>150</v>
      </c>
      <c r="B21" s="126"/>
      <c r="C21" s="81">
        <f>STDEV(C10,C13,C16,C19)</f>
        <v>0</v>
      </c>
      <c r="D21" s="81">
        <f>STDEV(D10,D13,D16,D19)</f>
        <v>9.7028870134685308E-2</v>
      </c>
      <c r="E21" s="81">
        <f t="shared" ref="E21:G21" si="10">STDEV(E10,E13,E16,E19)</f>
        <v>4.2882299700884779E-2</v>
      </c>
      <c r="F21" s="81">
        <f t="shared" si="10"/>
        <v>3.3524052656377791E-2</v>
      </c>
      <c r="G21" s="81">
        <f t="shared" si="10"/>
        <v>3.7274624041272568E-2</v>
      </c>
      <c r="I21" s="126" t="s">
        <v>150</v>
      </c>
      <c r="J21" s="126"/>
      <c r="K21" s="81">
        <f>STDEV(K10,K13,K16,K19)</f>
        <v>0</v>
      </c>
      <c r="L21" s="81">
        <f>STDEV(L10,L13,L16,L19)</f>
        <v>0.14344999232255018</v>
      </c>
      <c r="M21" s="81">
        <f t="shared" ref="M21:O21" si="11">STDEV(M10,M13,M16,M19)</f>
        <v>0.15087012077644249</v>
      </c>
      <c r="N21" s="81">
        <f t="shared" si="11"/>
        <v>0.24204453822202671</v>
      </c>
      <c r="O21" s="81">
        <f t="shared" si="11"/>
        <v>0.12302359240031771</v>
      </c>
    </row>
    <row r="22" spans="1:19" ht="15.9" customHeight="1" x14ac:dyDescent="0.3">
      <c r="A22" s="126" t="s">
        <v>151</v>
      </c>
      <c r="B22" s="126"/>
      <c r="C22" s="126"/>
      <c r="D22" s="54">
        <f>AVERAGE(C8:G8,C11:G11,C14:G14,C17:G17)</f>
        <v>192.31</v>
      </c>
      <c r="E22" s="82" t="s">
        <v>106</v>
      </c>
      <c r="F22" s="54">
        <f>STDEV(C8:G8,C11:G11,C14:G14,C17:G17)</f>
        <v>35.698782228972036</v>
      </c>
      <c r="I22" s="126" t="s">
        <v>151</v>
      </c>
      <c r="J22" s="126"/>
      <c r="K22" s="126"/>
      <c r="L22" s="54">
        <f>AVERAGE(K8:O8,K11:O11,K14:O14,K17:O17)</f>
        <v>214.09</v>
      </c>
      <c r="M22" s="82" t="s">
        <v>106</v>
      </c>
      <c r="N22" s="54">
        <f>STDEV(K8:O8,K11:O11,K14:O14,K17:O17)</f>
        <v>38.816734047382809</v>
      </c>
    </row>
    <row r="25" spans="1:19" x14ac:dyDescent="0.3">
      <c r="C25" s="70" t="s">
        <v>122</v>
      </c>
      <c r="D25" s="69" t="s">
        <v>133</v>
      </c>
      <c r="E25" s="62" t="s">
        <v>152</v>
      </c>
      <c r="K25" s="70" t="s">
        <v>122</v>
      </c>
      <c r="L25" s="69" t="s">
        <v>131</v>
      </c>
      <c r="M25" s="62" t="s">
        <v>153</v>
      </c>
      <c r="Q25" s="50" t="s">
        <v>119</v>
      </c>
      <c r="R25" s="63">
        <v>0.01</v>
      </c>
    </row>
    <row r="27" spans="1:19" x14ac:dyDescent="0.3">
      <c r="C27" s="68" t="s">
        <v>141</v>
      </c>
      <c r="D27" s="68" t="s">
        <v>142</v>
      </c>
      <c r="E27" s="68" t="s">
        <v>143</v>
      </c>
      <c r="F27" s="68" t="s">
        <v>144</v>
      </c>
      <c r="G27" s="68" t="s">
        <v>145</v>
      </c>
      <c r="K27" s="68" t="s">
        <v>141</v>
      </c>
      <c r="L27" s="68" t="s">
        <v>142</v>
      </c>
      <c r="M27" s="68" t="s">
        <v>143</v>
      </c>
      <c r="N27" s="68" t="s">
        <v>144</v>
      </c>
      <c r="O27" s="68" t="s">
        <v>145</v>
      </c>
    </row>
    <row r="28" spans="1:19" x14ac:dyDescent="0.3">
      <c r="A28" s="126" t="s">
        <v>113</v>
      </c>
      <c r="B28" s="126"/>
      <c r="C28" s="59">
        <f>10/60/24</f>
        <v>6.9444444444444441E-3</v>
      </c>
      <c r="D28" s="59">
        <v>1</v>
      </c>
      <c r="E28" s="59">
        <v>3</v>
      </c>
      <c r="F28" s="59">
        <f>7</f>
        <v>7</v>
      </c>
      <c r="G28" s="59">
        <f>14</f>
        <v>14</v>
      </c>
      <c r="I28" s="126" t="s">
        <v>113</v>
      </c>
      <c r="J28" s="126"/>
      <c r="K28" s="59">
        <f>10/60/24</f>
        <v>6.9444444444444441E-3</v>
      </c>
      <c r="L28" s="59">
        <v>1</v>
      </c>
      <c r="M28" s="59">
        <v>3</v>
      </c>
      <c r="N28" s="59">
        <f>7</f>
        <v>7</v>
      </c>
      <c r="O28" s="59">
        <f>14</f>
        <v>14</v>
      </c>
    </row>
    <row r="29" spans="1:19" x14ac:dyDescent="0.3">
      <c r="A29" s="130" t="s">
        <v>111</v>
      </c>
      <c r="B29" s="71" t="s">
        <v>146</v>
      </c>
      <c r="C29" s="72">
        <v>187</v>
      </c>
      <c r="D29" s="72">
        <v>145.5</v>
      </c>
      <c r="E29" s="72">
        <v>143.9</v>
      </c>
      <c r="F29" s="72">
        <v>148</v>
      </c>
      <c r="G29" s="72">
        <v>199.6</v>
      </c>
      <c r="I29" s="130" t="s">
        <v>111</v>
      </c>
      <c r="J29" s="71" t="s">
        <v>146</v>
      </c>
      <c r="K29" s="72">
        <v>264.7</v>
      </c>
      <c r="L29" s="72">
        <v>199.8</v>
      </c>
      <c r="M29" s="72">
        <v>198</v>
      </c>
      <c r="N29" s="72">
        <v>199.5</v>
      </c>
      <c r="O29" s="72">
        <v>224.1</v>
      </c>
    </row>
    <row r="30" spans="1:19" x14ac:dyDescent="0.3">
      <c r="A30" s="131"/>
      <c r="B30" s="74" t="s">
        <v>147</v>
      </c>
      <c r="C30" s="75"/>
      <c r="D30" s="76">
        <v>164.4</v>
      </c>
      <c r="E30" s="76">
        <v>157.30000000000001</v>
      </c>
      <c r="F30" s="76">
        <v>154.6</v>
      </c>
      <c r="G30" s="76">
        <v>236.12</v>
      </c>
      <c r="I30" s="131"/>
      <c r="J30" s="74" t="s">
        <v>147</v>
      </c>
      <c r="K30" s="75"/>
      <c r="L30" s="76">
        <v>293.2</v>
      </c>
      <c r="M30" s="76">
        <v>301.3</v>
      </c>
      <c r="N30" s="76">
        <v>259.60000000000002</v>
      </c>
      <c r="O30" s="76">
        <v>286.60000000000002</v>
      </c>
    </row>
    <row r="31" spans="1:19" x14ac:dyDescent="0.3">
      <c r="A31" s="132"/>
      <c r="B31" s="77" t="s">
        <v>148</v>
      </c>
      <c r="C31" s="78">
        <f>(C29-C29)/C29</f>
        <v>0</v>
      </c>
      <c r="D31" s="78">
        <f>(D30-D29)/D29</f>
        <v>0.12989690721649488</v>
      </c>
      <c r="E31" s="78">
        <f t="shared" ref="E31:G31" si="12">(E30-E29)/E29</f>
        <v>9.3120222376650491E-2</v>
      </c>
      <c r="F31" s="78">
        <f t="shared" si="12"/>
        <v>4.4594594594594555E-2</v>
      </c>
      <c r="G31" s="78">
        <f t="shared" si="12"/>
        <v>0.1829659318637275</v>
      </c>
      <c r="I31" s="132"/>
      <c r="J31" s="77" t="s">
        <v>148</v>
      </c>
      <c r="K31" s="78">
        <f>(K29-K29)/K29</f>
        <v>0</v>
      </c>
      <c r="L31" s="78">
        <f>(L30-L29)/L29</f>
        <v>0.46746746746746731</v>
      </c>
      <c r="M31" s="78">
        <f t="shared" ref="M31:O31" si="13">(M30-M29)/M29</f>
        <v>0.5217171717171718</v>
      </c>
      <c r="N31" s="78">
        <f t="shared" si="13"/>
        <v>0.30125313283208033</v>
      </c>
      <c r="O31" s="78">
        <f t="shared" si="13"/>
        <v>0.27889335118250796</v>
      </c>
    </row>
    <row r="32" spans="1:19" x14ac:dyDescent="0.3">
      <c r="A32" s="130" t="s">
        <v>110</v>
      </c>
      <c r="B32" s="71" t="s">
        <v>146</v>
      </c>
      <c r="C32" s="72">
        <v>194.1</v>
      </c>
      <c r="D32" s="72">
        <v>134.30000000000001</v>
      </c>
      <c r="E32" s="72">
        <v>147.5</v>
      </c>
      <c r="F32" s="72">
        <v>118.7</v>
      </c>
      <c r="G32" s="72">
        <v>222.3</v>
      </c>
      <c r="I32" s="130" t="s">
        <v>110</v>
      </c>
      <c r="J32" s="71" t="s">
        <v>146</v>
      </c>
      <c r="K32" s="72">
        <v>241.2</v>
      </c>
      <c r="L32" s="72">
        <v>162.19999999999999</v>
      </c>
      <c r="M32" s="72">
        <v>207.3</v>
      </c>
      <c r="N32" s="72">
        <v>208.8</v>
      </c>
      <c r="O32" s="72">
        <v>219.5</v>
      </c>
    </row>
    <row r="33" spans="1:18" x14ac:dyDescent="0.3">
      <c r="A33" s="131"/>
      <c r="B33" s="74" t="s">
        <v>147</v>
      </c>
      <c r="C33" s="75"/>
      <c r="D33" s="76">
        <v>165.5</v>
      </c>
      <c r="E33" s="76">
        <v>156.19999999999999</v>
      </c>
      <c r="F33" s="76">
        <v>128.19999999999999</v>
      </c>
      <c r="G33" s="76">
        <v>258.60000000000002</v>
      </c>
      <c r="I33" s="131"/>
      <c r="J33" s="74" t="s">
        <v>147</v>
      </c>
      <c r="K33" s="75"/>
      <c r="L33" s="76">
        <v>217.9</v>
      </c>
      <c r="M33" s="76">
        <v>335.1</v>
      </c>
      <c r="N33" s="76">
        <v>272.2</v>
      </c>
      <c r="O33" s="76">
        <v>291.7</v>
      </c>
    </row>
    <row r="34" spans="1:18" x14ac:dyDescent="0.3">
      <c r="A34" s="132"/>
      <c r="B34" s="77" t="s">
        <v>148</v>
      </c>
      <c r="C34" s="78">
        <f>(C32-C32)/C32</f>
        <v>0</v>
      </c>
      <c r="D34" s="78">
        <f>(D33-D32)/D32</f>
        <v>0.23231571109456431</v>
      </c>
      <c r="E34" s="78">
        <f t="shared" ref="E34:G34" si="14">(E33-E32)/E32</f>
        <v>5.8983050847457551E-2</v>
      </c>
      <c r="F34" s="78">
        <f t="shared" si="14"/>
        <v>8.0033698399325906E-2</v>
      </c>
      <c r="G34" s="78">
        <f t="shared" si="14"/>
        <v>0.16329284750337386</v>
      </c>
      <c r="I34" s="132"/>
      <c r="J34" s="77" t="s">
        <v>148</v>
      </c>
      <c r="K34" s="78">
        <f>(K32-K32)/K32</f>
        <v>0</v>
      </c>
      <c r="L34" s="78">
        <f>(L33-L32)/L32</f>
        <v>0.34340320591861911</v>
      </c>
      <c r="M34" s="78">
        <f t="shared" ref="M34:O34" si="15">(M33-M32)/M32</f>
        <v>0.61649782923299568</v>
      </c>
      <c r="N34" s="78">
        <f t="shared" si="15"/>
        <v>0.30363984674329492</v>
      </c>
      <c r="O34" s="78">
        <f t="shared" si="15"/>
        <v>0.32892938496583141</v>
      </c>
    </row>
    <row r="35" spans="1:18" x14ac:dyDescent="0.3">
      <c r="A35" s="130" t="s">
        <v>109</v>
      </c>
      <c r="B35" s="71" t="s">
        <v>146</v>
      </c>
      <c r="C35" s="72">
        <v>176.8</v>
      </c>
      <c r="D35" s="72">
        <v>143.5</v>
      </c>
      <c r="E35" s="72">
        <v>140.4</v>
      </c>
      <c r="F35" s="72">
        <v>117.8</v>
      </c>
      <c r="G35" s="72">
        <v>178.6</v>
      </c>
      <c r="I35" s="130" t="s">
        <v>109</v>
      </c>
      <c r="J35" s="71" t="s">
        <v>146</v>
      </c>
      <c r="K35" s="72">
        <v>234.4</v>
      </c>
      <c r="L35" s="72">
        <v>183.1</v>
      </c>
      <c r="M35" s="72">
        <v>237.9</v>
      </c>
      <c r="N35" s="72">
        <v>188.5</v>
      </c>
      <c r="O35" s="72">
        <v>171.9</v>
      </c>
    </row>
    <row r="36" spans="1:18" x14ac:dyDescent="0.3">
      <c r="A36" s="131"/>
      <c r="B36" s="74" t="s">
        <v>147</v>
      </c>
      <c r="C36" s="75"/>
      <c r="D36" s="76">
        <v>178.6</v>
      </c>
      <c r="E36" s="76">
        <v>157.19999999999999</v>
      </c>
      <c r="F36" s="76">
        <v>130</v>
      </c>
      <c r="G36" s="76">
        <v>195.31</v>
      </c>
      <c r="I36" s="131"/>
      <c r="J36" s="74" t="s">
        <v>147</v>
      </c>
      <c r="K36" s="75"/>
      <c r="L36" s="76">
        <v>279.8</v>
      </c>
      <c r="M36" s="76">
        <v>327.7</v>
      </c>
      <c r="N36" s="76">
        <v>268.7</v>
      </c>
      <c r="O36" s="76">
        <v>212.8</v>
      </c>
    </row>
    <row r="37" spans="1:18" x14ac:dyDescent="0.3">
      <c r="A37" s="132"/>
      <c r="B37" s="77" t="s">
        <v>148</v>
      </c>
      <c r="C37" s="78">
        <f>(C35-C35)/C35</f>
        <v>0</v>
      </c>
      <c r="D37" s="78">
        <f>(D36-D35)/D35</f>
        <v>0.24459930313588846</v>
      </c>
      <c r="E37" s="78">
        <f t="shared" ref="E37:G37" si="16">(E36-E35)/E35</f>
        <v>0.11965811965811954</v>
      </c>
      <c r="F37" s="78">
        <f t="shared" si="16"/>
        <v>0.10356536502546691</v>
      </c>
      <c r="G37" s="78">
        <f t="shared" si="16"/>
        <v>9.3561030235162421E-2</v>
      </c>
      <c r="I37" s="132"/>
      <c r="J37" s="77" t="s">
        <v>148</v>
      </c>
      <c r="K37" s="78">
        <f>(K35-K35)/K35</f>
        <v>0</v>
      </c>
      <c r="L37" s="78">
        <f>(L36-L35)/L35</f>
        <v>0.52812670671764073</v>
      </c>
      <c r="M37" s="78">
        <f t="shared" ref="M37:O37" si="17">(M36-M35)/M35</f>
        <v>0.37746952501050851</v>
      </c>
      <c r="N37" s="78">
        <f t="shared" si="17"/>
        <v>0.42546419098143229</v>
      </c>
      <c r="O37" s="78">
        <f t="shared" si="17"/>
        <v>0.23792902850494477</v>
      </c>
    </row>
    <row r="38" spans="1:18" x14ac:dyDescent="0.3">
      <c r="A38" s="130" t="s">
        <v>108</v>
      </c>
      <c r="B38" s="71" t="s">
        <v>146</v>
      </c>
      <c r="C38" s="72">
        <v>168.3</v>
      </c>
      <c r="D38" s="72">
        <v>174.1</v>
      </c>
      <c r="E38" s="72">
        <v>171.3</v>
      </c>
      <c r="F38" s="72">
        <v>146.69999999999999</v>
      </c>
      <c r="G38" s="72">
        <v>187.2</v>
      </c>
      <c r="I38" s="130" t="s">
        <v>108</v>
      </c>
      <c r="J38" s="71" t="s">
        <v>146</v>
      </c>
      <c r="K38" s="72">
        <v>198</v>
      </c>
      <c r="L38" s="72">
        <v>184.9</v>
      </c>
      <c r="M38" s="72">
        <v>165.9</v>
      </c>
      <c r="N38" s="72">
        <v>247.1</v>
      </c>
      <c r="O38" s="72">
        <v>170.7</v>
      </c>
    </row>
    <row r="39" spans="1:18" x14ac:dyDescent="0.3">
      <c r="A39" s="131"/>
      <c r="B39" s="74" t="s">
        <v>147</v>
      </c>
      <c r="C39" s="75"/>
      <c r="D39" s="76">
        <v>251.3</v>
      </c>
      <c r="E39" s="76">
        <v>240.2</v>
      </c>
      <c r="F39" s="76">
        <v>180.2</v>
      </c>
      <c r="G39" s="76">
        <v>201.35</v>
      </c>
      <c r="I39" s="131"/>
      <c r="J39" s="74" t="s">
        <v>147</v>
      </c>
      <c r="K39" s="75"/>
      <c r="L39" s="76">
        <v>286.3</v>
      </c>
      <c r="M39" s="76">
        <v>258.10000000000002</v>
      </c>
      <c r="N39" s="76">
        <v>312.10000000000002</v>
      </c>
      <c r="O39" s="76">
        <v>212.6</v>
      </c>
    </row>
    <row r="40" spans="1:18" x14ac:dyDescent="0.3">
      <c r="A40" s="132"/>
      <c r="B40" s="77" t="s">
        <v>148</v>
      </c>
      <c r="C40" s="78">
        <f>(C38-C38)/C38</f>
        <v>0</v>
      </c>
      <c r="D40" s="78">
        <f>(D39-D38)/D38</f>
        <v>0.4434233199310742</v>
      </c>
      <c r="E40" s="78">
        <f t="shared" ref="E40:G40" si="18">(E39-E38)/E38</f>
        <v>0.40221833041447735</v>
      </c>
      <c r="F40" s="78">
        <f t="shared" si="18"/>
        <v>0.2283571915473756</v>
      </c>
      <c r="G40" s="78">
        <f t="shared" si="18"/>
        <v>7.5587606837606874E-2</v>
      </c>
      <c r="I40" s="132"/>
      <c r="J40" s="77" t="s">
        <v>148</v>
      </c>
      <c r="K40" s="78">
        <f>(K38-K38)/K38</f>
        <v>0</v>
      </c>
      <c r="L40" s="78">
        <f>(L39-L38)/L38</f>
        <v>0.54840454299621422</v>
      </c>
      <c r="M40" s="78">
        <f t="shared" ref="M40:O40" si="19">(M39-M38)/M38</f>
        <v>0.55575647980711285</v>
      </c>
      <c r="N40" s="78">
        <f t="shared" si="19"/>
        <v>0.26305139619587226</v>
      </c>
      <c r="O40" s="78">
        <f t="shared" si="19"/>
        <v>0.24545987111892215</v>
      </c>
    </row>
    <row r="41" spans="1:18" ht="15.9" customHeight="1" x14ac:dyDescent="0.3">
      <c r="A41" s="126" t="s">
        <v>149</v>
      </c>
      <c r="B41" s="126"/>
      <c r="C41" s="81">
        <f>AVERAGE(C31,C34,C37,C40)</f>
        <v>0</v>
      </c>
      <c r="D41" s="81">
        <f t="shared" ref="D41:G41" si="20">AVERAGE(D31,D34,D37,D40)</f>
        <v>0.26255881034450546</v>
      </c>
      <c r="E41" s="81">
        <f t="shared" si="20"/>
        <v>0.16849493082417621</v>
      </c>
      <c r="F41" s="81">
        <f t="shared" si="20"/>
        <v>0.11413771239169074</v>
      </c>
      <c r="G41" s="81">
        <f t="shared" si="20"/>
        <v>0.12885185410996766</v>
      </c>
      <c r="I41" s="126" t="s">
        <v>149</v>
      </c>
      <c r="J41" s="126"/>
      <c r="K41" s="81">
        <f>AVERAGE(K31,K34,K37,K40)</f>
        <v>0</v>
      </c>
      <c r="L41" s="81">
        <f t="shared" ref="L41:O41" si="21">AVERAGE(L31,L34,L37,L40)</f>
        <v>0.47185048077498537</v>
      </c>
      <c r="M41" s="81">
        <f t="shared" si="21"/>
        <v>0.51786025144194725</v>
      </c>
      <c r="N41" s="81">
        <f t="shared" si="21"/>
        <v>0.32335214168816995</v>
      </c>
      <c r="O41" s="81">
        <f t="shared" si="21"/>
        <v>0.27280290894305159</v>
      </c>
    </row>
    <row r="42" spans="1:18" ht="15.9" customHeight="1" x14ac:dyDescent="0.3">
      <c r="A42" s="126" t="s">
        <v>150</v>
      </c>
      <c r="B42" s="126"/>
      <c r="C42" s="81">
        <f>STDEV(C31,C34,C37,C40)</f>
        <v>0</v>
      </c>
      <c r="D42" s="81">
        <f>STDEV(D31,D34,D37,D40)</f>
        <v>0.13108310381961746</v>
      </c>
      <c r="E42" s="81">
        <f t="shared" ref="E42:G42" si="22">STDEV(E31,E34,E37,E40)</f>
        <v>0.15778240308570685</v>
      </c>
      <c r="F42" s="81">
        <f t="shared" si="22"/>
        <v>7.9910768883716482E-2</v>
      </c>
      <c r="G42" s="81">
        <f t="shared" si="22"/>
        <v>5.2271846228214625E-2</v>
      </c>
      <c r="I42" s="126" t="s">
        <v>150</v>
      </c>
      <c r="J42" s="126"/>
      <c r="K42" s="81">
        <f>STDEV(K31,K34,K37,K40)</f>
        <v>0</v>
      </c>
      <c r="L42" s="81">
        <f>STDEV(L31,L34,L37,L40)</f>
        <v>9.2277572704316427E-2</v>
      </c>
      <c r="M42" s="81">
        <f t="shared" ref="M42:O42" si="23">STDEV(M31,M34,M37,M40)</f>
        <v>0.10147237354529264</v>
      </c>
      <c r="N42" s="81">
        <f t="shared" si="23"/>
        <v>7.0569094468262789E-2</v>
      </c>
      <c r="O42" s="81">
        <f t="shared" si="23"/>
        <v>4.1437117224661063E-2</v>
      </c>
    </row>
    <row r="43" spans="1:18" ht="15.9" customHeight="1" x14ac:dyDescent="0.3">
      <c r="A43" s="126" t="s">
        <v>151</v>
      </c>
      <c r="B43" s="126"/>
      <c r="C43" s="126"/>
      <c r="D43" s="54">
        <f>AVERAGE(C29:G29,C32:G32,C35:G35,C38:G38)</f>
        <v>162.28</v>
      </c>
      <c r="E43" s="82" t="s">
        <v>106</v>
      </c>
      <c r="F43" s="54">
        <f>STDEV(C29:G29,C32:G32,C35:G35,C38:G38)</f>
        <v>27.863154315709799</v>
      </c>
      <c r="I43" s="126" t="s">
        <v>151</v>
      </c>
      <c r="J43" s="126"/>
      <c r="K43" s="126"/>
      <c r="L43" s="54">
        <f>AVERAGE(K29:O29,K32:O32,K35:O35,K38:O38)</f>
        <v>205.375</v>
      </c>
      <c r="M43" s="82" t="s">
        <v>106</v>
      </c>
      <c r="N43" s="54">
        <f>STDEV(K29:O29,K32:O32,K35:O35,K38:O38)</f>
        <v>29.13633786546508</v>
      </c>
    </row>
    <row r="46" spans="1:18" x14ac:dyDescent="0.3">
      <c r="C46" s="70" t="s">
        <v>122</v>
      </c>
      <c r="D46" s="69" t="s">
        <v>129</v>
      </c>
      <c r="E46" s="62" t="s">
        <v>154</v>
      </c>
      <c r="K46" s="70" t="s">
        <v>122</v>
      </c>
      <c r="L46" s="69" t="s">
        <v>127</v>
      </c>
      <c r="M46" s="62" t="s">
        <v>155</v>
      </c>
      <c r="Q46" s="50" t="s">
        <v>119</v>
      </c>
      <c r="R46" s="63">
        <v>5.0000000000000001E-3</v>
      </c>
    </row>
    <row r="48" spans="1:18" x14ac:dyDescent="0.3">
      <c r="C48" s="68" t="s">
        <v>141</v>
      </c>
      <c r="D48" s="68" t="s">
        <v>142</v>
      </c>
      <c r="E48" s="68" t="s">
        <v>143</v>
      </c>
      <c r="F48" s="68" t="s">
        <v>144</v>
      </c>
      <c r="G48" s="68" t="s">
        <v>145</v>
      </c>
      <c r="K48" s="68" t="s">
        <v>141</v>
      </c>
      <c r="L48" s="68" t="s">
        <v>142</v>
      </c>
      <c r="M48" s="68" t="s">
        <v>143</v>
      </c>
      <c r="N48" s="68" t="s">
        <v>144</v>
      </c>
      <c r="O48" s="68" t="s">
        <v>145</v>
      </c>
    </row>
    <row r="49" spans="1:15" x14ac:dyDescent="0.3">
      <c r="A49" s="126" t="s">
        <v>113</v>
      </c>
      <c r="B49" s="126"/>
      <c r="C49" s="59">
        <f>10/60/24</f>
        <v>6.9444444444444441E-3</v>
      </c>
      <c r="D49" s="59">
        <v>1</v>
      </c>
      <c r="E49" s="59">
        <v>3</v>
      </c>
      <c r="F49" s="59">
        <f>7</f>
        <v>7</v>
      </c>
      <c r="G49" s="59">
        <f>14</f>
        <v>14</v>
      </c>
      <c r="I49" s="126" t="s">
        <v>113</v>
      </c>
      <c r="J49" s="126"/>
      <c r="K49" s="59">
        <f>10/60/24</f>
        <v>6.9444444444444441E-3</v>
      </c>
      <c r="L49" s="59">
        <v>1</v>
      </c>
      <c r="M49" s="59">
        <v>3</v>
      </c>
      <c r="N49" s="59">
        <f>7</f>
        <v>7</v>
      </c>
      <c r="O49" s="59">
        <f>14</f>
        <v>14</v>
      </c>
    </row>
    <row r="50" spans="1:15" x14ac:dyDescent="0.3">
      <c r="A50" s="130" t="s">
        <v>111</v>
      </c>
      <c r="B50" s="71" t="s">
        <v>146</v>
      </c>
      <c r="C50" s="72">
        <v>169.5</v>
      </c>
      <c r="D50" s="72">
        <v>117.3</v>
      </c>
      <c r="E50" s="72">
        <v>121</v>
      </c>
      <c r="F50" s="72">
        <v>108.2</v>
      </c>
      <c r="G50" s="83">
        <v>125.54</v>
      </c>
      <c r="I50" s="130" t="s">
        <v>111</v>
      </c>
      <c r="J50" s="71" t="s">
        <v>146</v>
      </c>
      <c r="K50" s="72">
        <v>193.3</v>
      </c>
      <c r="L50" s="72">
        <v>205.8</v>
      </c>
      <c r="M50" s="72">
        <v>193.2</v>
      </c>
      <c r="N50" s="72">
        <v>186</v>
      </c>
      <c r="O50" s="72">
        <v>175.7</v>
      </c>
    </row>
    <row r="51" spans="1:15" x14ac:dyDescent="0.3">
      <c r="A51" s="131"/>
      <c r="B51" s="74" t="s">
        <v>147</v>
      </c>
      <c r="C51" s="75"/>
      <c r="D51" s="76">
        <v>196.9</v>
      </c>
      <c r="E51" s="76">
        <v>146.69999999999999</v>
      </c>
      <c r="F51" s="76">
        <v>131.6</v>
      </c>
      <c r="G51" s="75">
        <v>200.71</v>
      </c>
      <c r="I51" s="131"/>
      <c r="J51" s="74" t="s">
        <v>147</v>
      </c>
      <c r="K51" s="75"/>
      <c r="L51" s="76">
        <v>250.8</v>
      </c>
      <c r="M51" s="76">
        <v>305.5</v>
      </c>
      <c r="N51" s="76">
        <v>159.61000000000001</v>
      </c>
      <c r="O51" s="76">
        <v>212.86</v>
      </c>
    </row>
    <row r="52" spans="1:15" x14ac:dyDescent="0.3">
      <c r="A52" s="132"/>
      <c r="B52" s="77" t="s">
        <v>148</v>
      </c>
      <c r="C52" s="78">
        <f>(C50-C50)/C50</f>
        <v>0</v>
      </c>
      <c r="D52" s="78">
        <f>(D51-D50)/D50</f>
        <v>0.67860187553282192</v>
      </c>
      <c r="E52" s="78">
        <f t="shared" ref="E52:G52" si="24">(E51-E50)/E50</f>
        <v>0.21239669421487595</v>
      </c>
      <c r="F52" s="78">
        <f t="shared" si="24"/>
        <v>0.21626617375231044</v>
      </c>
      <c r="G52" s="78">
        <f t="shared" si="24"/>
        <v>0.59877329934682166</v>
      </c>
      <c r="I52" s="132"/>
      <c r="J52" s="77" t="s">
        <v>148</v>
      </c>
      <c r="K52" s="78">
        <f>(K50-K50)/K50</f>
        <v>0</v>
      </c>
      <c r="L52" s="78">
        <f>(L51-L50)/L50</f>
        <v>0.21865889212827988</v>
      </c>
      <c r="M52" s="78">
        <f t="shared" ref="M52:O52" si="25">(M51-M50)/M50</f>
        <v>0.58126293995859224</v>
      </c>
      <c r="N52" s="78">
        <f t="shared" si="25"/>
        <v>-0.14188172043010747</v>
      </c>
      <c r="O52" s="78">
        <f t="shared" si="25"/>
        <v>0.2114968696642005</v>
      </c>
    </row>
    <row r="53" spans="1:15" x14ac:dyDescent="0.3">
      <c r="A53" s="130" t="s">
        <v>110</v>
      </c>
      <c r="B53" s="71" t="s">
        <v>146</v>
      </c>
      <c r="C53" s="72">
        <v>159.69999999999999</v>
      </c>
      <c r="D53" s="72">
        <v>104.9</v>
      </c>
      <c r="E53" s="72">
        <v>106</v>
      </c>
      <c r="F53" s="72">
        <v>107.4</v>
      </c>
      <c r="G53" s="83">
        <v>115.94</v>
      </c>
      <c r="I53" s="130" t="s">
        <v>110</v>
      </c>
      <c r="J53" s="71" t="s">
        <v>146</v>
      </c>
      <c r="K53" s="72">
        <v>247.9</v>
      </c>
      <c r="L53" s="72">
        <v>152.30000000000001</v>
      </c>
      <c r="M53" s="72">
        <v>170.6</v>
      </c>
      <c r="N53" s="72">
        <v>218.8</v>
      </c>
      <c r="O53" s="72">
        <v>157.69999999999999</v>
      </c>
    </row>
    <row r="54" spans="1:15" x14ac:dyDescent="0.3">
      <c r="A54" s="131"/>
      <c r="B54" s="74" t="s">
        <v>147</v>
      </c>
      <c r="C54" s="75"/>
      <c r="D54" s="76">
        <v>145.5</v>
      </c>
      <c r="E54" s="76">
        <v>130.4</v>
      </c>
      <c r="F54" s="76">
        <v>114.7</v>
      </c>
      <c r="G54" s="75">
        <v>153.41999999999999</v>
      </c>
      <c r="I54" s="131"/>
      <c r="J54" s="74" t="s">
        <v>147</v>
      </c>
      <c r="K54" s="75"/>
      <c r="L54" s="76">
        <v>228.9</v>
      </c>
      <c r="M54" s="76">
        <v>271.33999999999997</v>
      </c>
      <c r="N54" s="76">
        <v>312.83</v>
      </c>
      <c r="O54" s="76">
        <v>211.2</v>
      </c>
    </row>
    <row r="55" spans="1:15" x14ac:dyDescent="0.3">
      <c r="A55" s="132"/>
      <c r="B55" s="77" t="s">
        <v>148</v>
      </c>
      <c r="C55" s="78">
        <f>(C53-C53)/C53</f>
        <v>0</v>
      </c>
      <c r="D55" s="78">
        <f>(D54-D53)/D53</f>
        <v>0.38703527168732116</v>
      </c>
      <c r="E55" s="78">
        <f t="shared" ref="E55:G55" si="26">(E54-E53)/E53</f>
        <v>0.23018867924528308</v>
      </c>
      <c r="F55" s="78">
        <f t="shared" si="26"/>
        <v>6.7970204841713192E-2</v>
      </c>
      <c r="G55" s="78">
        <f t="shared" si="26"/>
        <v>0.32327065723650156</v>
      </c>
      <c r="I55" s="132"/>
      <c r="J55" s="77" t="s">
        <v>148</v>
      </c>
      <c r="K55" s="78">
        <f>(K53-K53)/K53</f>
        <v>0</v>
      </c>
      <c r="L55" s="78">
        <f>(L54-L53)/L53</f>
        <v>0.50295469468154952</v>
      </c>
      <c r="M55" s="78">
        <f t="shared" ref="M55:O55" si="27">(M54-M53)/M53</f>
        <v>0.59050410316529889</v>
      </c>
      <c r="N55" s="78">
        <f t="shared" si="27"/>
        <v>0.42975319926873845</v>
      </c>
      <c r="O55" s="78">
        <f t="shared" si="27"/>
        <v>0.33925174381737477</v>
      </c>
    </row>
    <row r="56" spans="1:15" x14ac:dyDescent="0.3">
      <c r="A56" s="130" t="s">
        <v>109</v>
      </c>
      <c r="B56" s="71" t="s">
        <v>146</v>
      </c>
      <c r="C56" s="72">
        <v>133.19999999999999</v>
      </c>
      <c r="D56" s="72">
        <v>114.5</v>
      </c>
      <c r="E56" s="72">
        <v>118.6</v>
      </c>
      <c r="F56" s="72">
        <v>98</v>
      </c>
      <c r="G56" s="83">
        <v>136.82</v>
      </c>
      <c r="I56" s="130" t="s">
        <v>109</v>
      </c>
      <c r="J56" s="71" t="s">
        <v>146</v>
      </c>
      <c r="K56" s="72">
        <v>134.9</v>
      </c>
      <c r="L56" s="72">
        <v>140.19999999999999</v>
      </c>
      <c r="M56" s="72">
        <v>183.8</v>
      </c>
      <c r="N56" s="72">
        <v>203.1</v>
      </c>
      <c r="O56" s="72">
        <v>145.80000000000001</v>
      </c>
    </row>
    <row r="57" spans="1:15" x14ac:dyDescent="0.3">
      <c r="A57" s="131"/>
      <c r="B57" s="74" t="s">
        <v>147</v>
      </c>
      <c r="C57" s="75"/>
      <c r="D57" s="76">
        <v>155</v>
      </c>
      <c r="E57" s="76">
        <v>142.80000000000001</v>
      </c>
      <c r="F57" s="76">
        <v>118.6</v>
      </c>
      <c r="G57" s="75">
        <v>142.81</v>
      </c>
      <c r="I57" s="131"/>
      <c r="J57" s="74" t="s">
        <v>147</v>
      </c>
      <c r="K57" s="75"/>
      <c r="L57" s="76">
        <v>228.4</v>
      </c>
      <c r="M57" s="76">
        <v>291.60000000000002</v>
      </c>
      <c r="N57" s="76">
        <v>326.7</v>
      </c>
      <c r="O57" s="76">
        <v>234.83</v>
      </c>
    </row>
    <row r="58" spans="1:15" x14ac:dyDescent="0.3">
      <c r="A58" s="132"/>
      <c r="B58" s="77" t="s">
        <v>148</v>
      </c>
      <c r="C58" s="78">
        <f>(C56-C56)/C56</f>
        <v>0</v>
      </c>
      <c r="D58" s="78">
        <f>(D57-D56)/D56</f>
        <v>0.35371179039301309</v>
      </c>
      <c r="E58" s="78">
        <f t="shared" ref="E58:G58" si="28">(E57-E56)/E56</f>
        <v>0.2040472175379428</v>
      </c>
      <c r="F58" s="78">
        <f t="shared" si="28"/>
        <v>0.210204081632653</v>
      </c>
      <c r="G58" s="78">
        <f t="shared" si="28"/>
        <v>4.3780149101008692E-2</v>
      </c>
      <c r="I58" s="132"/>
      <c r="J58" s="77" t="s">
        <v>148</v>
      </c>
      <c r="K58" s="78">
        <f>(K56-K56)/K56</f>
        <v>0</v>
      </c>
      <c r="L58" s="78">
        <f>(L57-L56)/L56</f>
        <v>0.62910128388017139</v>
      </c>
      <c r="M58" s="78">
        <f t="shared" ref="M58:O58" si="29">(M57-M56)/M56</f>
        <v>0.58650707290533188</v>
      </c>
      <c r="N58" s="78">
        <f t="shared" si="29"/>
        <v>0.60856720827178734</v>
      </c>
      <c r="O58" s="78">
        <f t="shared" si="29"/>
        <v>0.61063100137174209</v>
      </c>
    </row>
    <row r="59" spans="1:15" x14ac:dyDescent="0.3">
      <c r="A59" s="130" t="s">
        <v>108</v>
      </c>
      <c r="B59" s="71" t="s">
        <v>146</v>
      </c>
      <c r="C59" s="72">
        <v>134.19999999999999</v>
      </c>
      <c r="D59" s="72">
        <v>79.8</v>
      </c>
      <c r="E59" s="72">
        <v>76.599999999999994</v>
      </c>
      <c r="F59" s="72">
        <v>87.9</v>
      </c>
      <c r="G59" s="83">
        <v>163.1</v>
      </c>
      <c r="I59" s="130" t="s">
        <v>108</v>
      </c>
      <c r="J59" s="71" t="s">
        <v>146</v>
      </c>
      <c r="K59" s="72">
        <v>152.5</v>
      </c>
      <c r="L59" s="72">
        <v>137</v>
      </c>
      <c r="M59" s="72">
        <v>222.7</v>
      </c>
      <c r="N59" s="72">
        <v>122.4</v>
      </c>
      <c r="O59" s="72">
        <v>177.1</v>
      </c>
    </row>
    <row r="60" spans="1:15" x14ac:dyDescent="0.3">
      <c r="A60" s="131"/>
      <c r="B60" s="74" t="s">
        <v>147</v>
      </c>
      <c r="C60" s="75"/>
      <c r="D60" s="76">
        <v>119</v>
      </c>
      <c r="E60" s="76">
        <v>107.7</v>
      </c>
      <c r="F60" s="76">
        <v>132.1</v>
      </c>
      <c r="G60" s="75">
        <v>175.31</v>
      </c>
      <c r="I60" s="131"/>
      <c r="J60" s="74" t="s">
        <v>147</v>
      </c>
      <c r="K60" s="75"/>
      <c r="L60" s="76">
        <v>226.6</v>
      </c>
      <c r="M60" s="76">
        <v>333.3</v>
      </c>
      <c r="N60" s="76">
        <v>231.5</v>
      </c>
      <c r="O60" s="76">
        <v>306.3</v>
      </c>
    </row>
    <row r="61" spans="1:15" x14ac:dyDescent="0.3">
      <c r="A61" s="132"/>
      <c r="B61" s="77" t="s">
        <v>148</v>
      </c>
      <c r="C61" s="78">
        <f>(C59-C59)/C59</f>
        <v>0</v>
      </c>
      <c r="D61" s="78">
        <f>(D60-D59)/D59</f>
        <v>0.49122807017543862</v>
      </c>
      <c r="E61" s="78">
        <f t="shared" ref="E61:G61" si="30">(E60-E59)/E59</f>
        <v>0.40600522193211502</v>
      </c>
      <c r="F61" s="78">
        <f t="shared" si="30"/>
        <v>0.5028441410693969</v>
      </c>
      <c r="G61" s="78">
        <f t="shared" si="30"/>
        <v>7.4862047823421263E-2</v>
      </c>
      <c r="I61" s="132"/>
      <c r="J61" s="77" t="s">
        <v>148</v>
      </c>
      <c r="K61" s="78">
        <f>(K59-K59)/K59</f>
        <v>0</v>
      </c>
      <c r="L61" s="78">
        <f>(L60-L59)/L59</f>
        <v>0.65401459854014599</v>
      </c>
      <c r="M61" s="78">
        <f t="shared" ref="M61:O61" si="31">(M60-M59)/M59</f>
        <v>0.4966322406825327</v>
      </c>
      <c r="N61" s="78">
        <f t="shared" si="31"/>
        <v>0.89133986928104569</v>
      </c>
      <c r="O61" s="78">
        <f t="shared" si="31"/>
        <v>0.72953133822699057</v>
      </c>
    </row>
    <row r="62" spans="1:15" ht="15.9" customHeight="1" x14ac:dyDescent="0.3">
      <c r="A62" s="126" t="s">
        <v>149</v>
      </c>
      <c r="B62" s="126"/>
      <c r="C62" s="81">
        <f>AVERAGE(C52,C55,C58,C61)</f>
        <v>0</v>
      </c>
      <c r="D62" s="81">
        <f t="shared" ref="D62:G62" si="32">AVERAGE(D52,D55,D58,D61)</f>
        <v>0.47764425194714871</v>
      </c>
      <c r="E62" s="81">
        <f t="shared" si="32"/>
        <v>0.26315945323255424</v>
      </c>
      <c r="F62" s="81">
        <f t="shared" si="32"/>
        <v>0.24932115032401839</v>
      </c>
      <c r="G62" s="81">
        <f t="shared" si="32"/>
        <v>0.26017153837693829</v>
      </c>
      <c r="I62" s="126" t="s">
        <v>149</v>
      </c>
      <c r="J62" s="126"/>
      <c r="K62" s="81">
        <f>AVERAGE(K52,K55,K58,K61)</f>
        <v>0</v>
      </c>
      <c r="L62" s="81">
        <f t="shared" ref="L62:O62" si="33">AVERAGE(L52,L55,L58,L61)</f>
        <v>0.50118236730753674</v>
      </c>
      <c r="M62" s="81">
        <f t="shared" si="33"/>
        <v>0.56372658917793894</v>
      </c>
      <c r="N62" s="81">
        <f t="shared" si="33"/>
        <v>0.44694463909786597</v>
      </c>
      <c r="O62" s="81">
        <f t="shared" si="33"/>
        <v>0.47272773827007697</v>
      </c>
    </row>
    <row r="63" spans="1:15" ht="15.9" customHeight="1" x14ac:dyDescent="0.3">
      <c r="A63" s="126" t="s">
        <v>150</v>
      </c>
      <c r="B63" s="126"/>
      <c r="C63" s="81">
        <f>STDEV(C52,C55,C58,C61)</f>
        <v>0</v>
      </c>
      <c r="D63" s="81">
        <f>STDEV(D52,D55,D58,D61)</f>
        <v>0.14621642512095262</v>
      </c>
      <c r="E63" s="81">
        <f t="shared" ref="E63:G63" si="34">STDEV(E52,E55,E58,E61)</f>
        <v>9.5852490290359277E-2</v>
      </c>
      <c r="F63" s="81">
        <f t="shared" si="34"/>
        <v>0.18237767480603584</v>
      </c>
      <c r="G63" s="81">
        <f t="shared" si="34"/>
        <v>0.25806813827277619</v>
      </c>
      <c r="I63" s="126" t="s">
        <v>150</v>
      </c>
      <c r="J63" s="126"/>
      <c r="K63" s="81">
        <f>STDEV(K52,K55,K58,K61)</f>
        <v>0</v>
      </c>
      <c r="L63" s="81">
        <f>STDEV(L52,L55,L58,L61)</f>
        <v>0.19961930041317746</v>
      </c>
      <c r="M63" s="81">
        <f t="shared" ref="M63:O63" si="35">STDEV(M52,M55,M58,M61)</f>
        <v>4.4889348747493958E-2</v>
      </c>
      <c r="N63" s="81">
        <f t="shared" si="35"/>
        <v>0.43612727605379342</v>
      </c>
      <c r="O63" s="81">
        <f t="shared" si="35"/>
        <v>0.23876264834394012</v>
      </c>
    </row>
    <row r="64" spans="1:15" ht="15.9" customHeight="1" x14ac:dyDescent="0.3">
      <c r="A64" s="126" t="s">
        <v>151</v>
      </c>
      <c r="B64" s="126"/>
      <c r="C64" s="126"/>
      <c r="D64" s="54">
        <f>AVERAGE(C50:G50,C53:G53,C56:G56,C59:G59)</f>
        <v>118.91</v>
      </c>
      <c r="E64" s="82" t="s">
        <v>106</v>
      </c>
      <c r="F64" s="54">
        <f>STDEV(C50:G50,C53:G53,C56:G56,C59:G59)</f>
        <v>25.487536272914959</v>
      </c>
      <c r="I64" s="126" t="s">
        <v>151</v>
      </c>
      <c r="J64" s="126"/>
      <c r="K64" s="126"/>
      <c r="L64" s="54">
        <f>AVERAGE(K50:O50,K53:O53,K56:O56,K59:O59)</f>
        <v>176.04000000000002</v>
      </c>
      <c r="M64" s="82" t="s">
        <v>106</v>
      </c>
      <c r="N64" s="54">
        <f>STDEV(K50:O50,K53:O53,K56:O56,K59:O59)</f>
        <v>33.495379099998836</v>
      </c>
    </row>
    <row r="67" spans="1:18" x14ac:dyDescent="0.3">
      <c r="C67" s="70" t="s">
        <v>122</v>
      </c>
      <c r="D67" s="69" t="s">
        <v>124</v>
      </c>
      <c r="E67" s="62" t="s">
        <v>123</v>
      </c>
      <c r="K67" s="70" t="s">
        <v>122</v>
      </c>
      <c r="L67" s="69" t="s">
        <v>121</v>
      </c>
      <c r="M67" s="62" t="s">
        <v>120</v>
      </c>
      <c r="Q67" s="50" t="s">
        <v>119</v>
      </c>
      <c r="R67" s="63">
        <v>0</v>
      </c>
    </row>
    <row r="69" spans="1:18" x14ac:dyDescent="0.3">
      <c r="C69" s="68" t="s">
        <v>141</v>
      </c>
      <c r="D69" s="68" t="s">
        <v>142</v>
      </c>
      <c r="E69" s="68" t="s">
        <v>143</v>
      </c>
      <c r="F69" s="68" t="s">
        <v>144</v>
      </c>
      <c r="G69" s="68" t="s">
        <v>145</v>
      </c>
      <c r="K69" s="68" t="s">
        <v>141</v>
      </c>
      <c r="L69" s="68" t="s">
        <v>142</v>
      </c>
      <c r="M69" s="68" t="s">
        <v>143</v>
      </c>
      <c r="N69" s="68" t="s">
        <v>144</v>
      </c>
      <c r="O69" s="68" t="s">
        <v>145</v>
      </c>
    </row>
    <row r="70" spans="1:18" x14ac:dyDescent="0.3">
      <c r="A70" s="126" t="s">
        <v>113</v>
      </c>
      <c r="B70" s="126"/>
      <c r="C70" s="59">
        <f>10/60/24</f>
        <v>6.9444444444444441E-3</v>
      </c>
      <c r="D70" s="59">
        <v>1</v>
      </c>
      <c r="E70" s="59">
        <v>3</v>
      </c>
      <c r="F70" s="59">
        <f>7</f>
        <v>7</v>
      </c>
      <c r="G70" s="59">
        <f>14</f>
        <v>14</v>
      </c>
      <c r="I70" s="126" t="s">
        <v>113</v>
      </c>
      <c r="J70" s="126"/>
      <c r="K70" s="59">
        <f>10/60/24</f>
        <v>6.9444444444444441E-3</v>
      </c>
      <c r="L70" s="59">
        <v>1</v>
      </c>
      <c r="M70" s="59">
        <v>3</v>
      </c>
      <c r="N70" s="59">
        <f>7</f>
        <v>7</v>
      </c>
      <c r="O70" s="59">
        <f>14</f>
        <v>14</v>
      </c>
    </row>
    <row r="71" spans="1:18" x14ac:dyDescent="0.3">
      <c r="A71" s="130" t="s">
        <v>111</v>
      </c>
      <c r="B71" s="71" t="s">
        <v>146</v>
      </c>
      <c r="C71" s="72">
        <v>175.4</v>
      </c>
      <c r="D71" s="72">
        <v>184.4</v>
      </c>
      <c r="E71" s="72">
        <v>106.5</v>
      </c>
      <c r="F71" s="72">
        <v>187.5</v>
      </c>
      <c r="G71" s="72">
        <v>122.9</v>
      </c>
      <c r="I71" s="130" t="s">
        <v>111</v>
      </c>
      <c r="J71" s="71" t="s">
        <v>146</v>
      </c>
      <c r="K71" s="72">
        <v>127.9</v>
      </c>
      <c r="L71" s="72">
        <v>142.30000000000001</v>
      </c>
      <c r="M71" s="72">
        <v>145.6</v>
      </c>
      <c r="N71" s="72">
        <v>151.9</v>
      </c>
      <c r="O71" s="72">
        <v>122.1</v>
      </c>
    </row>
    <row r="72" spans="1:18" x14ac:dyDescent="0.3">
      <c r="A72" s="131"/>
      <c r="B72" s="74" t="s">
        <v>147</v>
      </c>
      <c r="C72" s="75"/>
      <c r="D72" s="76">
        <v>321.51</v>
      </c>
      <c r="E72" s="76">
        <v>140.1</v>
      </c>
      <c r="F72" s="76">
        <v>237.49</v>
      </c>
      <c r="G72" s="76">
        <v>158.80000000000001</v>
      </c>
      <c r="I72" s="131"/>
      <c r="J72" s="74" t="s">
        <v>147</v>
      </c>
      <c r="K72" s="75"/>
      <c r="L72" s="76">
        <v>217.7</v>
      </c>
      <c r="M72" s="76">
        <v>232.4</v>
      </c>
      <c r="N72" s="76">
        <v>234.5</v>
      </c>
      <c r="O72" s="76">
        <v>217.3</v>
      </c>
    </row>
    <row r="73" spans="1:18" x14ac:dyDescent="0.3">
      <c r="A73" s="132"/>
      <c r="B73" s="77" t="s">
        <v>148</v>
      </c>
      <c r="C73" s="78">
        <f>(C71-C71)/C71</f>
        <v>0</v>
      </c>
      <c r="D73" s="78">
        <f>(D72-D71)/D71</f>
        <v>0.74354663774403462</v>
      </c>
      <c r="E73" s="78">
        <f t="shared" ref="E73:G73" si="36">(E72-E71)/E71</f>
        <v>0.31549295774647884</v>
      </c>
      <c r="F73" s="78">
        <f t="shared" si="36"/>
        <v>0.26661333333333337</v>
      </c>
      <c r="G73" s="78">
        <f t="shared" si="36"/>
        <v>0.29210740439381616</v>
      </c>
      <c r="I73" s="132"/>
      <c r="J73" s="77" t="s">
        <v>148</v>
      </c>
      <c r="K73" s="78">
        <f>(K71-K71)/K71</f>
        <v>0</v>
      </c>
      <c r="L73" s="78">
        <f>(L72-L71)/L71</f>
        <v>0.52986647926914943</v>
      </c>
      <c r="M73" s="78">
        <f t="shared" ref="M73:O73" si="37">(M72-M71)/M71</f>
        <v>0.59615384615384626</v>
      </c>
      <c r="N73" s="78">
        <f t="shared" si="37"/>
        <v>0.54377880184331795</v>
      </c>
      <c r="O73" s="78">
        <f t="shared" si="37"/>
        <v>0.77968877968877981</v>
      </c>
    </row>
    <row r="74" spans="1:18" x14ac:dyDescent="0.3">
      <c r="A74" s="130" t="s">
        <v>110</v>
      </c>
      <c r="B74" s="71" t="s">
        <v>146</v>
      </c>
      <c r="C74" s="72">
        <v>149.9</v>
      </c>
      <c r="D74" s="72">
        <v>181.5</v>
      </c>
      <c r="E74" s="72">
        <v>102.8</v>
      </c>
      <c r="F74" s="72">
        <v>188.7</v>
      </c>
      <c r="G74" s="72">
        <v>186.4</v>
      </c>
      <c r="I74" s="130" t="s">
        <v>110</v>
      </c>
      <c r="J74" s="71" t="s">
        <v>146</v>
      </c>
      <c r="K74" s="72">
        <v>157.30000000000001</v>
      </c>
      <c r="L74" s="72">
        <v>124.6</v>
      </c>
      <c r="M74" s="72">
        <v>156.5</v>
      </c>
      <c r="N74" s="72">
        <v>163</v>
      </c>
      <c r="O74" s="72">
        <v>103.6</v>
      </c>
    </row>
    <row r="75" spans="1:18" x14ac:dyDescent="0.3">
      <c r="A75" s="131"/>
      <c r="B75" s="74" t="s">
        <v>147</v>
      </c>
      <c r="C75" s="75"/>
      <c r="D75" s="76">
        <v>223.8</v>
      </c>
      <c r="E75" s="76">
        <v>127.5</v>
      </c>
      <c r="F75" s="76">
        <v>268.7</v>
      </c>
      <c r="G75" s="76">
        <v>197</v>
      </c>
      <c r="I75" s="131"/>
      <c r="J75" s="74" t="s">
        <v>147</v>
      </c>
      <c r="K75" s="75"/>
      <c r="L75" s="76">
        <v>185.5</v>
      </c>
      <c r="M75" s="76">
        <v>230.3</v>
      </c>
      <c r="N75" s="76">
        <v>272.89999999999998</v>
      </c>
      <c r="O75" s="76">
        <v>203.5</v>
      </c>
    </row>
    <row r="76" spans="1:18" x14ac:dyDescent="0.3">
      <c r="A76" s="132"/>
      <c r="B76" s="77" t="s">
        <v>148</v>
      </c>
      <c r="C76" s="78">
        <f>(C74-C74)/C74</f>
        <v>0</v>
      </c>
      <c r="D76" s="78">
        <f>(D75-D74)/D74</f>
        <v>0.23305785123966949</v>
      </c>
      <c r="E76" s="78">
        <f t="shared" ref="E76:G76" si="38">(E75-E74)/E74</f>
        <v>0.24027237354085607</v>
      </c>
      <c r="F76" s="78">
        <f t="shared" si="38"/>
        <v>0.42395336512983572</v>
      </c>
      <c r="G76" s="78">
        <f t="shared" si="38"/>
        <v>5.686695278969954E-2</v>
      </c>
      <c r="I76" s="132"/>
      <c r="J76" s="77" t="s">
        <v>148</v>
      </c>
      <c r="K76" s="78">
        <f>(K74-K74)/K74</f>
        <v>0</v>
      </c>
      <c r="L76" s="78">
        <f>(L75-L74)/L74</f>
        <v>0.48876404494382031</v>
      </c>
      <c r="M76" s="78">
        <f t="shared" ref="M76:O76" si="39">(M75-M74)/M74</f>
        <v>0.47156549520766783</v>
      </c>
      <c r="N76" s="78">
        <f t="shared" si="39"/>
        <v>0.67423312883435571</v>
      </c>
      <c r="O76" s="78">
        <f t="shared" si="39"/>
        <v>0.96428571428571441</v>
      </c>
    </row>
    <row r="77" spans="1:18" x14ac:dyDescent="0.3">
      <c r="A77" s="130" t="s">
        <v>109</v>
      </c>
      <c r="B77" s="71" t="s">
        <v>146</v>
      </c>
      <c r="C77" s="72">
        <v>172.3</v>
      </c>
      <c r="D77" s="72">
        <v>229</v>
      </c>
      <c r="E77" s="72">
        <v>89.8</v>
      </c>
      <c r="F77" s="72">
        <v>158.69999999999999</v>
      </c>
      <c r="G77" s="72">
        <v>182.5</v>
      </c>
      <c r="I77" s="130" t="s">
        <v>109</v>
      </c>
      <c r="J77" s="71" t="s">
        <v>146</v>
      </c>
      <c r="K77" s="72">
        <v>167.6</v>
      </c>
      <c r="L77" s="72">
        <v>169.4</v>
      </c>
      <c r="M77" s="72">
        <v>149.69999999999999</v>
      </c>
      <c r="N77" s="72">
        <v>151.9</v>
      </c>
      <c r="O77" s="72">
        <v>109.9</v>
      </c>
    </row>
    <row r="78" spans="1:18" x14ac:dyDescent="0.3">
      <c r="A78" s="131"/>
      <c r="B78" s="74" t="s">
        <v>147</v>
      </c>
      <c r="C78" s="75"/>
      <c r="D78" s="76">
        <v>353.12</v>
      </c>
      <c r="E78" s="76">
        <v>162.19999999999999</v>
      </c>
      <c r="F78" s="76">
        <v>208.9</v>
      </c>
      <c r="G78" s="76">
        <v>209.1</v>
      </c>
      <c r="I78" s="131"/>
      <c r="J78" s="74" t="s">
        <v>147</v>
      </c>
      <c r="K78" s="75"/>
      <c r="L78" s="76">
        <v>278.2</v>
      </c>
      <c r="M78" s="76">
        <v>226.3</v>
      </c>
      <c r="N78" s="76">
        <v>322.2</v>
      </c>
      <c r="O78" s="76">
        <v>202.2</v>
      </c>
    </row>
    <row r="79" spans="1:18" x14ac:dyDescent="0.3">
      <c r="A79" s="132"/>
      <c r="B79" s="77" t="s">
        <v>148</v>
      </c>
      <c r="C79" s="78">
        <f>(C77-C77)/C77</f>
        <v>0</v>
      </c>
      <c r="D79" s="78">
        <f>(D78-D77)/D77</f>
        <v>0.54200873362445412</v>
      </c>
      <c r="E79" s="78">
        <f t="shared" ref="E79:G79" si="40">(E78-E77)/E77</f>
        <v>0.80623608017817361</v>
      </c>
      <c r="F79" s="78">
        <f t="shared" si="40"/>
        <v>0.31632010081915579</v>
      </c>
      <c r="G79" s="78">
        <f t="shared" si="40"/>
        <v>0.14575342465753421</v>
      </c>
      <c r="I79" s="132"/>
      <c r="J79" s="77" t="s">
        <v>148</v>
      </c>
      <c r="K79" s="78">
        <f>(K77-K77)/K77</f>
        <v>0</v>
      </c>
      <c r="L79" s="78">
        <f>(L78-L77)/L77</f>
        <v>0.64226682408500579</v>
      </c>
      <c r="M79" s="78">
        <f t="shared" ref="M79:O79" si="41">(M78-M77)/M77</f>
        <v>0.51169004676018726</v>
      </c>
      <c r="N79" s="78">
        <f t="shared" si="41"/>
        <v>1.1211323238973008</v>
      </c>
      <c r="O79" s="78">
        <f t="shared" si="41"/>
        <v>0.8398544131028205</v>
      </c>
    </row>
    <row r="80" spans="1:18" x14ac:dyDescent="0.3">
      <c r="A80" s="130" t="s">
        <v>108</v>
      </c>
      <c r="B80" s="71" t="s">
        <v>146</v>
      </c>
      <c r="C80" s="72">
        <v>169.98</v>
      </c>
      <c r="D80" s="72">
        <v>221.38</v>
      </c>
      <c r="E80" s="72">
        <v>138.43</v>
      </c>
      <c r="F80" s="72">
        <v>138.19</v>
      </c>
      <c r="G80" s="72">
        <v>145.16999999999999</v>
      </c>
      <c r="I80" s="130" t="s">
        <v>108</v>
      </c>
      <c r="J80" s="71" t="s">
        <v>146</v>
      </c>
      <c r="K80" s="72">
        <v>163.30000000000001</v>
      </c>
      <c r="L80" s="72">
        <v>163.69999999999999</v>
      </c>
      <c r="M80" s="72">
        <v>132.9</v>
      </c>
      <c r="N80" s="72">
        <v>153.80000000000001</v>
      </c>
      <c r="O80" s="72">
        <v>106.3</v>
      </c>
    </row>
    <row r="81" spans="1:15" x14ac:dyDescent="0.3">
      <c r="A81" s="131"/>
      <c r="B81" s="74" t="s">
        <v>147</v>
      </c>
      <c r="C81" s="75"/>
      <c r="D81" s="76">
        <v>341.28</v>
      </c>
      <c r="E81" s="76">
        <v>189.13</v>
      </c>
      <c r="F81" s="76">
        <v>182.73</v>
      </c>
      <c r="G81" s="76">
        <v>243.75</v>
      </c>
      <c r="I81" s="131"/>
      <c r="J81" s="74" t="s">
        <v>147</v>
      </c>
      <c r="K81" s="75"/>
      <c r="L81" s="76">
        <v>260.5</v>
      </c>
      <c r="M81" s="76">
        <v>239.4</v>
      </c>
      <c r="N81" s="76">
        <v>201</v>
      </c>
      <c r="O81" s="76">
        <v>216.1</v>
      </c>
    </row>
    <row r="82" spans="1:15" x14ac:dyDescent="0.3">
      <c r="A82" s="132"/>
      <c r="B82" s="77" t="s">
        <v>148</v>
      </c>
      <c r="C82" s="78">
        <f>(C80-C80)/C80</f>
        <v>0</v>
      </c>
      <c r="D82" s="78">
        <f>(D81-D80)/D80</f>
        <v>0.54160267413497143</v>
      </c>
      <c r="E82" s="78">
        <f>(E81-E80)/E80</f>
        <v>0.36625009029834565</v>
      </c>
      <c r="F82" s="78">
        <f t="shared" ref="F82:G82" si="42">(F81-F80)/F80</f>
        <v>0.32230986323178229</v>
      </c>
      <c r="G82" s="78">
        <f t="shared" si="42"/>
        <v>0.67906592271130417</v>
      </c>
      <c r="I82" s="132"/>
      <c r="J82" s="77" t="s">
        <v>148</v>
      </c>
      <c r="K82" s="78">
        <f>(K80-K80)/K80</f>
        <v>0</v>
      </c>
      <c r="L82" s="78">
        <f>(L81-L80)/L80</f>
        <v>0.59132559560171061</v>
      </c>
      <c r="M82" s="78">
        <f t="shared" ref="M82:O82" si="43">(M81-M80)/M80</f>
        <v>0.80135440180586903</v>
      </c>
      <c r="N82" s="78">
        <f t="shared" si="43"/>
        <v>0.30689206762028598</v>
      </c>
      <c r="O82" s="78">
        <f t="shared" si="43"/>
        <v>1.032925682031985</v>
      </c>
    </row>
    <row r="83" spans="1:15" ht="15.9" customHeight="1" x14ac:dyDescent="0.3">
      <c r="A83" s="126" t="s">
        <v>149</v>
      </c>
      <c r="B83" s="126"/>
      <c r="C83" s="81">
        <f>AVERAGE(C73,C76,C79)</f>
        <v>0</v>
      </c>
      <c r="D83" s="81">
        <f>AVERAGE(D73,D76,D79,D82)</f>
        <v>0.51505397418578247</v>
      </c>
      <c r="E83" s="81">
        <f>AVERAGE(E73,E76,E79,E82)</f>
        <v>0.43206287544096356</v>
      </c>
      <c r="F83" s="81">
        <f>AVERAGE(F73,F76,F79,F82)</f>
        <v>0.33229916562852679</v>
      </c>
      <c r="G83" s="81">
        <f>AVERAGE(G73,G76,G79,G82)</f>
        <v>0.29344842613808853</v>
      </c>
      <c r="I83" s="126" t="s">
        <v>149</v>
      </c>
      <c r="J83" s="126"/>
      <c r="K83" s="81">
        <f>AVERAGE(K73,K76,K79,K82)</f>
        <v>0</v>
      </c>
      <c r="L83" s="81">
        <f t="shared" ref="L83:O83" si="44">AVERAGE(L73,L76,L79,L82)</f>
        <v>0.56305573597492153</v>
      </c>
      <c r="M83" s="81">
        <f t="shared" si="44"/>
        <v>0.59519094748189261</v>
      </c>
      <c r="N83" s="81">
        <f t="shared" si="44"/>
        <v>0.66150908054881508</v>
      </c>
      <c r="O83" s="81">
        <f t="shared" si="44"/>
        <v>0.90418864727732506</v>
      </c>
    </row>
    <row r="84" spans="1:15" ht="15.9" customHeight="1" x14ac:dyDescent="0.3">
      <c r="A84" s="126" t="s">
        <v>150</v>
      </c>
      <c r="B84" s="126"/>
      <c r="C84" s="81">
        <f>STDEV(C73,C76,C79)</f>
        <v>0</v>
      </c>
      <c r="D84" s="81">
        <f t="shared" ref="D84:G84" si="45">STDEV(D73,D76,D79)</f>
        <v>0.25712091049087826</v>
      </c>
      <c r="E84" s="81">
        <f t="shared" si="45"/>
        <v>0.30735480738415227</v>
      </c>
      <c r="F84" s="81">
        <f t="shared" si="45"/>
        <v>8.0427573967500582E-2</v>
      </c>
      <c r="G84" s="81">
        <f t="shared" si="45"/>
        <v>0.11878437210387294</v>
      </c>
      <c r="I84" s="126" t="s">
        <v>150</v>
      </c>
      <c r="J84" s="126"/>
      <c r="K84" s="81">
        <f>STDEV(K73,K76,K79,K82)</f>
        <v>0</v>
      </c>
      <c r="L84" s="81">
        <f>STDEV(L73,L76,L79,L82)</f>
        <v>6.7563213757793478E-2</v>
      </c>
      <c r="M84" s="81">
        <f t="shared" ref="M84:O84" si="46">STDEV(M73,M76,M79,M82)</f>
        <v>0.14692395986131654</v>
      </c>
      <c r="N84" s="81">
        <f t="shared" si="46"/>
        <v>0.34206679250958238</v>
      </c>
      <c r="O84" s="81">
        <f t="shared" si="46"/>
        <v>0.11521572852236477</v>
      </c>
    </row>
    <row r="85" spans="1:15" ht="15.9" customHeight="1" x14ac:dyDescent="0.3">
      <c r="A85" s="126" t="s">
        <v>151</v>
      </c>
      <c r="B85" s="126"/>
      <c r="C85" s="126"/>
      <c r="D85" s="54">
        <f>AVERAGE(C71:G71,C74:G74,C77:G77,C80:G80)</f>
        <v>161.57249999999999</v>
      </c>
      <c r="E85" s="82" t="s">
        <v>106</v>
      </c>
      <c r="F85" s="54">
        <f>STDEV(C71:G71,C74:G74,C77:G77,C80:G80)</f>
        <v>37.353904590522909</v>
      </c>
      <c r="I85" s="126" t="s">
        <v>151</v>
      </c>
      <c r="J85" s="126"/>
      <c r="K85" s="126"/>
      <c r="L85" s="54">
        <f>AVERAGE(K71:O71,K74:O74,K77:O77,K80:O80)</f>
        <v>143.16500000000002</v>
      </c>
      <c r="M85" s="82" t="s">
        <v>106</v>
      </c>
      <c r="N85" s="54">
        <f>STDEV(K71:O71,K74:O74,K77:O77,K80:O80)</f>
        <v>20.971591687202103</v>
      </c>
    </row>
  </sheetData>
  <mergeCells count="64">
    <mergeCell ref="A7:B7"/>
    <mergeCell ref="I7:J7"/>
    <mergeCell ref="A8:A10"/>
    <mergeCell ref="I8:I10"/>
    <mergeCell ref="A11:A13"/>
    <mergeCell ref="I11:I13"/>
    <mergeCell ref="A14:A16"/>
    <mergeCell ref="I14:I16"/>
    <mergeCell ref="A17:A19"/>
    <mergeCell ref="I17:I19"/>
    <mergeCell ref="A20:B20"/>
    <mergeCell ref="I20:J20"/>
    <mergeCell ref="A21:B21"/>
    <mergeCell ref="I21:J21"/>
    <mergeCell ref="A22:C22"/>
    <mergeCell ref="I22:K22"/>
    <mergeCell ref="A28:B28"/>
    <mergeCell ref="I28:J28"/>
    <mergeCell ref="A29:A31"/>
    <mergeCell ref="I29:I31"/>
    <mergeCell ref="A32:A34"/>
    <mergeCell ref="I32:I34"/>
    <mergeCell ref="A35:A37"/>
    <mergeCell ref="I35:I37"/>
    <mergeCell ref="A38:A40"/>
    <mergeCell ref="I38:I40"/>
    <mergeCell ref="A41:B41"/>
    <mergeCell ref="I41:J41"/>
    <mergeCell ref="A42:B42"/>
    <mergeCell ref="I42:J42"/>
    <mergeCell ref="A43:C43"/>
    <mergeCell ref="I43:K43"/>
    <mergeCell ref="A49:B49"/>
    <mergeCell ref="I49:J49"/>
    <mergeCell ref="A50:A52"/>
    <mergeCell ref="I50:I52"/>
    <mergeCell ref="A53:A55"/>
    <mergeCell ref="I53:I55"/>
    <mergeCell ref="A56:A58"/>
    <mergeCell ref="I56:I58"/>
    <mergeCell ref="A59:A61"/>
    <mergeCell ref="I59:I61"/>
    <mergeCell ref="A62:B62"/>
    <mergeCell ref="I62:J62"/>
    <mergeCell ref="A63:B63"/>
    <mergeCell ref="I63:J63"/>
    <mergeCell ref="A64:C64"/>
    <mergeCell ref="I64:K64"/>
    <mergeCell ref="A70:B70"/>
    <mergeCell ref="I70:J70"/>
    <mergeCell ref="A71:A73"/>
    <mergeCell ref="I71:I73"/>
    <mergeCell ref="A74:A76"/>
    <mergeCell ref="I74:I76"/>
    <mergeCell ref="A84:B84"/>
    <mergeCell ref="I84:J84"/>
    <mergeCell ref="A85:C85"/>
    <mergeCell ref="I85:K85"/>
    <mergeCell ref="A77:A79"/>
    <mergeCell ref="I77:I79"/>
    <mergeCell ref="A80:A82"/>
    <mergeCell ref="I80:I82"/>
    <mergeCell ref="A83:B83"/>
    <mergeCell ref="I83:J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DNA</vt:lpstr>
      <vt:lpstr>SDS Residue</vt:lpstr>
      <vt:lpstr>GAG</vt:lpstr>
      <vt:lpstr>FTIR</vt:lpstr>
      <vt:lpstr>Raman</vt:lpstr>
      <vt:lpstr>Rheology</vt:lpstr>
      <vt:lpstr>Printability</vt:lpstr>
      <vt:lpstr>Degradation</vt:lpstr>
      <vt:lpstr>Swelling</vt:lpstr>
      <vt:lpstr>Mechanical Properties (Compress</vt:lpstr>
      <vt:lpstr>MTT</vt:lpstr>
      <vt:lpstr>Mechanical properties (Tensile)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FazelAnvariYazdi, Abbas</cp:lastModifiedBy>
  <cp:revision/>
  <dcterms:created xsi:type="dcterms:W3CDTF">2025-12-19T14:38:27Z</dcterms:created>
  <dcterms:modified xsi:type="dcterms:W3CDTF">2025-12-22T20:24:48Z</dcterms:modified>
  <cp:category/>
  <cp:contentStatus/>
</cp:coreProperties>
</file>